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6" yWindow="410" windowWidth="10320" windowHeight="7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'Sheet1'!$A$1:$T$74</definedName>
  </definedNames>
  <calcPr fullCalcOnLoad="1"/>
</workbook>
</file>

<file path=xl/sharedStrings.xml><?xml version="1.0" encoding="utf-8"?>
<sst xmlns="http://schemas.openxmlformats.org/spreadsheetml/2006/main" count="97" uniqueCount="52">
  <si>
    <t xml:space="preserve"> </t>
  </si>
  <si>
    <t>dock</t>
  </si>
  <si>
    <t>berth length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</si>
  <si>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</si>
  <si>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</si>
  <si>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</si>
  <si>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</si>
  <si>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</si>
  <si>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</si>
  <si>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</si>
  <si>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</si>
  <si>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</si>
  <si>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</si>
  <si>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</si>
  <si>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</si>
  <si>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</si>
  <si>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</si>
  <si>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</si>
  <si>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total no. slips of this length on this dock</t>
  </si>
  <si>
    <t>total monthly revenue</t>
  </si>
  <si>
    <t>total annual revenue</t>
  </si>
  <si>
    <t>Berth Revenue Estimate for Berkeley Marina</t>
  </si>
  <si>
    <t>unmetered power?   (1=yes)</t>
  </si>
  <si>
    <t xml:space="preserve"> total number of berths</t>
  </si>
  <si>
    <t>no. of upwind single-finger</t>
  </si>
  <si>
    <t>no. of upwind double-finger</t>
  </si>
  <si>
    <t>no. of downwind single-finger</t>
  </si>
  <si>
    <t>extra wide? (1=yes)</t>
  </si>
  <si>
    <t>rate for downwind single-finger</t>
  </si>
  <si>
    <t>rate for upwind single-finger</t>
  </si>
  <si>
    <t>rate for downwind double-finger</t>
  </si>
  <si>
    <t>rate for upwind double-finger</t>
  </si>
  <si>
    <t>(excluding skiffs, dry storage, and other misc. revenue)</t>
  </si>
  <si>
    <t>revenue increase over present, 100% occupancy</t>
  </si>
  <si>
    <t>average % revenue increase for this size berth on this dock</t>
  </si>
  <si>
    <t xml:space="preserve"> no. of downwind double-finger</t>
  </si>
  <si>
    <t>base rate for this length</t>
  </si>
  <si>
    <t>rate adjustment for unmetered power</t>
  </si>
  <si>
    <t>Total length of berths of this size on this dock</t>
  </si>
  <si>
    <t>total berth length in Marina</t>
  </si>
  <si>
    <t>New Average Monthlly Rate</t>
  </si>
  <si>
    <t>Old Average Monthly Rate</t>
  </si>
  <si>
    <t>revenue at 100% occupancy</t>
  </si>
  <si>
    <t xml:space="preserve"> total feet of berths</t>
  </si>
  <si>
    <t>revenue increase after 3% occupancy drop</t>
  </si>
  <si>
    <t xml:space="preserve"> progressive rate increment for unmetered power (no change)</t>
  </si>
  <si>
    <t xml:space="preserve"> adjustment for extra-wide (no change)</t>
  </si>
  <si>
    <t xml:space="preserve"> adjustment for double finger (up from 6%)</t>
  </si>
  <si>
    <t xml:space="preserve"> adjustment for upwind (up from 6%)</t>
  </si>
  <si>
    <t xml:space="preserve"> progressive rate increment for berthing (up from 5%)</t>
  </si>
  <si>
    <t>approx. revenue under rates in effect as of April '04</t>
  </si>
  <si>
    <t xml:space="preserve"> initial base rate (7.5% increase, up from $5.03)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</si>
</sst>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textRotation="90" wrapText="1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6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" xfId="0" applyBorder="1" applyAlignment="1">
      <alignment/>
    </xf>
    <xf numFmtId="10" fontId="1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1" fillId="0" borderId="1" xfId="0" applyNumberFormat="1" applyFont="1" applyBorder="1" applyAlignment="1">
      <alignment horizontal="center"/>
    </xf>
    <xf numFmtId="7" fontId="1" fillId="0" borderId="1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7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0" xfId="0" applyAlignment="1" quotePrefix="1">
      <alignment/>
    </xf>
    <xf numFmtId="0" fontId="0" fillId="0" borderId="3" xfId="0" applyFont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"/>
  <sheetViews>
    <sheetView showGridLines="0" tabSelected="1" zoomScale="75" zoomScaleNormal="75" workbookViewId="0" topLeftCell="A1">
      <selection activeCell="O5" sqref="O5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7.00390625" style="0" customWidth="1"/>
    <col min="4" max="4" width="6.8515625" style="0" customWidth="1"/>
    <col min="5" max="5" width="3.57421875" style="0" customWidth="1"/>
    <col min="6" max="6" width="6.421875" style="0" customWidth="1"/>
    <col min="7" max="7" width="5.00390625" style="0" customWidth="1"/>
    <col min="8" max="8" width="4.421875" style="0" customWidth="1"/>
    <col min="9" max="10" width="3.57421875" style="0" customWidth="1"/>
    <col min="11" max="11" width="6.421875" style="0" customWidth="1"/>
    <col min="12" max="12" width="2.140625" style="0" customWidth="1"/>
    <col min="13" max="16" width="5.57421875" style="0" customWidth="1"/>
    <col min="17" max="17" width="1.421875" style="0" customWidth="1"/>
    <col min="18" max="18" width="11.140625" style="0" customWidth="1"/>
    <col min="19" max="19" width="1.421875" style="0" customWidth="1"/>
    <col min="20" max="20" width="10.421875" style="0" customWidth="1"/>
    <col min="21" max="21" width="2.140625" style="0" customWidth="1"/>
    <col min="22" max="22" width="7.57421875" style="0" customWidth="1"/>
    <col min="24" max="24" width="8.140625" style="0" customWidth="1"/>
  </cols>
  <sheetData>
    <row r="1" spans="2:11" ht="12.75">
      <c r="B1" s="2" t="s">
        <v>21</v>
      </c>
      <c r="C1" s="2"/>
      <c r="K1" s="2" t="s">
        <v>32</v>
      </c>
    </row>
    <row r="2" spans="2:3" ht="12.75">
      <c r="B2" s="2"/>
      <c r="C2" s="2"/>
    </row>
    <row r="3" ht="12.75" thickBot="1"/>
    <row r="4" spans="1:20" ht="13.5" thickBot="1">
      <c r="A4" s="2"/>
      <c r="B4" s="2"/>
      <c r="C4" s="2"/>
      <c r="D4" s="2" t="s">
        <v>0</v>
      </c>
      <c r="E4" s="2"/>
      <c r="F4" s="38">
        <v>5.41</v>
      </c>
      <c r="G4" s="2" t="s">
        <v>51</v>
      </c>
      <c r="H4" s="2"/>
      <c r="I4" s="2"/>
      <c r="J4" s="2"/>
      <c r="K4" s="2"/>
      <c r="L4" s="2"/>
      <c r="P4" s="2"/>
      <c r="Q4" s="2"/>
      <c r="R4" s="2"/>
      <c r="S4" s="2"/>
      <c r="T4" s="2"/>
    </row>
    <row r="5" spans="1:20" ht="13.5" thickBot="1">
      <c r="A5" s="2"/>
      <c r="B5" s="2"/>
      <c r="C5" s="2"/>
      <c r="D5" s="2"/>
      <c r="E5" s="2"/>
      <c r="F5" s="29"/>
      <c r="G5" s="2"/>
      <c r="H5" s="2"/>
      <c r="I5" s="2"/>
      <c r="J5" s="2"/>
      <c r="K5" s="2"/>
      <c r="L5" s="30"/>
      <c r="M5" s="31"/>
      <c r="P5" s="2"/>
      <c r="Q5" s="2"/>
      <c r="R5" s="2"/>
      <c r="S5" s="2"/>
      <c r="T5" s="2"/>
    </row>
    <row r="6" spans="1:20" ht="13.5" thickBot="1">
      <c r="A6" s="2"/>
      <c r="B6" s="2"/>
      <c r="C6" s="2"/>
      <c r="D6" s="2"/>
      <c r="E6" s="2"/>
      <c r="F6" s="39">
        <v>0.08</v>
      </c>
      <c r="G6" s="2" t="s">
        <v>47</v>
      </c>
      <c r="H6" s="2"/>
      <c r="I6" s="2"/>
      <c r="J6" s="2"/>
      <c r="K6" s="2"/>
      <c r="L6" s="30"/>
      <c r="M6" s="30"/>
      <c r="P6" s="2"/>
      <c r="Q6" s="2"/>
      <c r="R6" s="2"/>
      <c r="S6" s="2"/>
      <c r="T6" s="2"/>
    </row>
    <row r="7" spans="1:20" ht="12.75" customHeight="1" thickBot="1">
      <c r="A7" s="2"/>
      <c r="B7" s="2"/>
      <c r="C7" s="2"/>
      <c r="D7" s="2"/>
      <c r="E7" s="2"/>
      <c r="F7" s="39">
        <v>0.08</v>
      </c>
      <c r="G7" s="2" t="s">
        <v>48</v>
      </c>
      <c r="H7" s="2"/>
      <c r="I7" s="2"/>
      <c r="J7" s="2"/>
      <c r="K7" s="2"/>
      <c r="L7" s="30"/>
      <c r="M7" s="30"/>
      <c r="O7" s="2"/>
      <c r="P7" s="2"/>
      <c r="Q7" s="2"/>
      <c r="R7" s="2"/>
      <c r="S7" s="2"/>
      <c r="T7" s="2"/>
    </row>
    <row r="8" spans="1:20" ht="12.75" customHeight="1" thickBot="1">
      <c r="A8" s="2"/>
      <c r="B8" s="2"/>
      <c r="C8" s="2"/>
      <c r="D8" s="2"/>
      <c r="E8" s="2"/>
      <c r="F8" s="44">
        <v>0.2</v>
      </c>
      <c r="G8" s="2" t="s">
        <v>46</v>
      </c>
      <c r="H8" s="2"/>
      <c r="I8" s="2"/>
      <c r="J8" s="2"/>
      <c r="K8" s="2"/>
      <c r="L8" s="30"/>
      <c r="M8" s="30"/>
      <c r="O8" s="2"/>
      <c r="P8" s="2"/>
      <c r="Q8" s="2"/>
      <c r="R8" s="2"/>
      <c r="S8" s="2"/>
      <c r="T8" s="2"/>
    </row>
    <row r="9" spans="1:20" ht="12.75" customHeight="1" thickBot="1">
      <c r="A9" s="2"/>
      <c r="B9" s="2"/>
      <c r="C9" s="2"/>
      <c r="D9" s="2"/>
      <c r="E9" s="2"/>
      <c r="F9" s="39">
        <v>0.06</v>
      </c>
      <c r="G9" s="2" t="s">
        <v>49</v>
      </c>
      <c r="H9" s="2"/>
      <c r="I9" s="2"/>
      <c r="J9" s="2"/>
      <c r="K9" s="2"/>
      <c r="L9" s="30"/>
      <c r="M9" s="30"/>
      <c r="O9" s="2"/>
      <c r="P9" s="2"/>
      <c r="Q9" s="2"/>
      <c r="R9" s="2"/>
      <c r="S9" s="2"/>
      <c r="T9" s="2"/>
    </row>
    <row r="10" spans="1:20" ht="12" customHeight="1" thickBot="1">
      <c r="A10" s="2"/>
      <c r="B10" s="2"/>
      <c r="C10" s="2"/>
      <c r="D10" s="2"/>
      <c r="E10" s="2"/>
      <c r="F10" s="38">
        <v>0.1</v>
      </c>
      <c r="G10" s="2" t="s">
        <v>45</v>
      </c>
      <c r="H10" s="2"/>
      <c r="I10" s="2"/>
      <c r="J10" s="2"/>
      <c r="K10" s="2"/>
      <c r="L10" s="30"/>
      <c r="M10" s="30"/>
      <c r="O10" s="2"/>
      <c r="P10" s="2"/>
      <c r="Q10" s="2"/>
      <c r="R10" s="2"/>
      <c r="S10" s="2"/>
      <c r="T10" s="2"/>
    </row>
    <row r="11" spans="1:20" ht="12" customHeight="1">
      <c r="A11" s="2"/>
      <c r="B11" s="2"/>
      <c r="C11" s="2"/>
      <c r="D11" s="2"/>
      <c r="E11" s="2"/>
      <c r="F11" s="40"/>
      <c r="G11" s="2"/>
      <c r="H11" s="2"/>
      <c r="I11" s="2"/>
      <c r="J11" s="2"/>
      <c r="K11" s="2"/>
      <c r="L11" s="30" t="s">
        <v>0</v>
      </c>
      <c r="M11" s="2"/>
      <c r="O11" s="2"/>
      <c r="P11" s="2"/>
      <c r="Q11" s="2"/>
      <c r="R11" s="2"/>
      <c r="S11" s="2"/>
      <c r="T11" s="2"/>
    </row>
    <row r="12" spans="1:24" ht="198.75" customHeight="1">
      <c r="A12" s="21" t="s">
        <v>1</v>
      </c>
      <c r="B12" s="22" t="s">
        <v>2</v>
      </c>
      <c r="C12" s="22" t="s">
        <v>36</v>
      </c>
      <c r="D12" s="21" t="s">
        <v>18</v>
      </c>
      <c r="E12" s="21" t="s">
        <v>26</v>
      </c>
      <c r="F12" s="21" t="s">
        <v>24</v>
      </c>
      <c r="G12" s="21" t="s">
        <v>35</v>
      </c>
      <c r="H12" s="21" t="s">
        <v>25</v>
      </c>
      <c r="I12" s="21" t="s">
        <v>22</v>
      </c>
      <c r="J12" s="21" t="s">
        <v>27</v>
      </c>
      <c r="K12" s="21" t="s">
        <v>37</v>
      </c>
      <c r="L12" s="4"/>
      <c r="M12" s="21" t="s">
        <v>28</v>
      </c>
      <c r="N12" s="21" t="s">
        <v>29</v>
      </c>
      <c r="O12" s="21" t="s">
        <v>30</v>
      </c>
      <c r="P12" s="21" t="s">
        <v>31</v>
      </c>
      <c r="Q12" s="4"/>
      <c r="R12" s="21" t="s">
        <v>42</v>
      </c>
      <c r="S12" s="4"/>
      <c r="T12" s="21" t="s">
        <v>50</v>
      </c>
      <c r="V12" s="21" t="s">
        <v>34</v>
      </c>
      <c r="X12" s="48" t="s">
        <v>38</v>
      </c>
    </row>
    <row r="13" spans="1:24" ht="12.75">
      <c r="A13" s="6" t="s">
        <v>4</v>
      </c>
      <c r="B13" s="6">
        <v>20</v>
      </c>
      <c r="C13" s="32">
        <f>+$F$4*(1+$F$9)^0</f>
        <v>5.41</v>
      </c>
      <c r="D13" s="13">
        <f>+E13+F13+G13+H13</f>
        <v>62</v>
      </c>
      <c r="E13" s="16">
        <v>31</v>
      </c>
      <c r="F13" s="17">
        <v>31</v>
      </c>
      <c r="G13" s="17">
        <v>0</v>
      </c>
      <c r="H13" s="18">
        <v>0</v>
      </c>
      <c r="I13" s="15">
        <v>1</v>
      </c>
      <c r="J13" s="6">
        <v>0</v>
      </c>
      <c r="K13" s="33">
        <f>$F$10*0</f>
        <v>0</v>
      </c>
      <c r="L13" s="5"/>
      <c r="M13" s="5">
        <f>+C13*(1+J13*$F$8)+K13*I13</f>
        <v>5.41</v>
      </c>
      <c r="N13" s="5">
        <f>+C13*(1+$F$7+J13*$F$8)+K13*I13</f>
        <v>5.8428</v>
      </c>
      <c r="O13" s="5">
        <f>+C13*(1+$F$6+J13*$F$8)+K13*I13</f>
        <v>5.8428</v>
      </c>
      <c r="P13" s="5">
        <f>+C13*(1+$F$6+$F$7+J13*$F$8)+K13*I13</f>
        <v>6.275600000000001</v>
      </c>
      <c r="Q13" s="10"/>
      <c r="R13" s="5">
        <f>+B13*(E13*M13+F13*N13+G13*O13+H13*P13)+I13*K13*B13*D13</f>
        <v>6976.736000000001</v>
      </c>
      <c r="S13" s="5"/>
      <c r="T13" s="5">
        <v>6424.316000000001</v>
      </c>
      <c r="U13" s="1"/>
      <c r="V13" s="28">
        <f>+(R13-T13)/T13</f>
        <v>0.08598892084386883</v>
      </c>
      <c r="X13">
        <f>+D13*B13</f>
        <v>1240</v>
      </c>
    </row>
    <row r="14" spans="1:24" ht="12.75">
      <c r="A14" s="6" t="s">
        <v>12</v>
      </c>
      <c r="B14" s="6">
        <v>20</v>
      </c>
      <c r="C14" s="32">
        <f>+$F$4*(1+$F$9)^0</f>
        <v>5.41</v>
      </c>
      <c r="D14" s="13">
        <f aca="true" t="shared" si="0" ref="D14:D25">+E14+F14+G14+H14</f>
        <v>1</v>
      </c>
      <c r="E14" s="16">
        <v>1</v>
      </c>
      <c r="F14" s="17">
        <v>0</v>
      </c>
      <c r="G14" s="17">
        <v>0</v>
      </c>
      <c r="H14" s="18">
        <v>0</v>
      </c>
      <c r="I14" s="15">
        <v>1</v>
      </c>
      <c r="J14" s="6">
        <v>0</v>
      </c>
      <c r="K14" s="33">
        <f>$F$10*0</f>
        <v>0</v>
      </c>
      <c r="L14" s="5"/>
      <c r="M14" s="5">
        <f aca="true" t="shared" si="1" ref="M14:M64">+C14*(1+J14*$F$8)+K14*I14</f>
        <v>5.41</v>
      </c>
      <c r="N14" s="5">
        <f aca="true" t="shared" si="2" ref="N14:N64">+C14*(1+$F$7+J14*$F$8)+K14*I14</f>
        <v>5.8428</v>
      </c>
      <c r="O14" s="5">
        <f aca="true" t="shared" si="3" ref="O14:O64">+C14*(1+$F$6+J14*$F$8)+K14*I14</f>
        <v>5.8428</v>
      </c>
      <c r="P14" s="5">
        <f aca="true" t="shared" si="4" ref="P14:P64">+C14*(1+$F$6+$F$7+J14*$F$8)+K14*I14</f>
        <v>6.275600000000001</v>
      </c>
      <c r="Q14" s="5"/>
      <c r="R14" s="5">
        <f aca="true" t="shared" si="5" ref="R14:R64">+B14*(E14*M14+F14*N14+G14*O14+H14*P14)+I14*K14*B14*D14</f>
        <v>108.2</v>
      </c>
      <c r="S14" s="5"/>
      <c r="T14" s="5">
        <v>100.6</v>
      </c>
      <c r="U14" s="1"/>
      <c r="V14" s="42">
        <f aca="true" t="shared" si="6" ref="V14:V64">+(R14-T14)/T14</f>
        <v>0.07554671968190864</v>
      </c>
      <c r="X14">
        <f aca="true" t="shared" si="7" ref="X14:X64">+D14*B14</f>
        <v>20</v>
      </c>
    </row>
    <row r="15" spans="1:24" ht="12.75">
      <c r="A15" s="6" t="s">
        <v>17</v>
      </c>
      <c r="B15" s="6">
        <v>20</v>
      </c>
      <c r="C15" s="32">
        <f>+$F$4*(1+$F$9)^0</f>
        <v>5.41</v>
      </c>
      <c r="D15" s="13">
        <f>+E15+F15+G15+H15</f>
        <v>11</v>
      </c>
      <c r="E15" s="16">
        <v>5</v>
      </c>
      <c r="F15" s="17">
        <v>0</v>
      </c>
      <c r="G15" s="17">
        <v>6</v>
      </c>
      <c r="H15" s="18">
        <v>0</v>
      </c>
      <c r="I15" s="15">
        <v>1</v>
      </c>
      <c r="J15" s="6">
        <v>0</v>
      </c>
      <c r="K15" s="33">
        <f>$F$10*0</f>
        <v>0</v>
      </c>
      <c r="L15" s="5"/>
      <c r="M15" s="5">
        <f t="shared" si="1"/>
        <v>5.41</v>
      </c>
      <c r="N15" s="5">
        <f t="shared" si="2"/>
        <v>5.8428</v>
      </c>
      <c r="O15" s="5">
        <f t="shared" si="3"/>
        <v>5.8428</v>
      </c>
      <c r="P15" s="5">
        <f t="shared" si="4"/>
        <v>6.275600000000001</v>
      </c>
      <c r="Q15" s="5"/>
      <c r="R15" s="5">
        <f t="shared" si="5"/>
        <v>1242.1360000000002</v>
      </c>
      <c r="S15" s="5"/>
      <c r="T15" s="5">
        <v>1142.816</v>
      </c>
      <c r="U15" s="1"/>
      <c r="V15" s="42">
        <f t="shared" si="6"/>
        <v>0.08690812869263308</v>
      </c>
      <c r="X15">
        <f t="shared" si="7"/>
        <v>220</v>
      </c>
    </row>
    <row r="16" spans="1:24" ht="12.75">
      <c r="A16" s="6" t="s">
        <v>9</v>
      </c>
      <c r="B16" s="6">
        <v>22</v>
      </c>
      <c r="C16" s="32">
        <f aca="true" t="shared" si="8" ref="C16:C23">+$F$4*(1+$F$9)^1</f>
        <v>5.7346</v>
      </c>
      <c r="D16" s="13">
        <f t="shared" si="0"/>
        <v>24</v>
      </c>
      <c r="E16" s="16">
        <v>6</v>
      </c>
      <c r="F16" s="17">
        <v>7</v>
      </c>
      <c r="G16" s="17">
        <v>6</v>
      </c>
      <c r="H16" s="18">
        <v>5</v>
      </c>
      <c r="I16" s="15">
        <v>1</v>
      </c>
      <c r="J16" s="6">
        <v>0</v>
      </c>
      <c r="K16" s="33">
        <f>$F$10*0</f>
        <v>0</v>
      </c>
      <c r="L16" s="5"/>
      <c r="M16" s="5">
        <f t="shared" si="1"/>
        <v>5.7346</v>
      </c>
      <c r="N16" s="5">
        <f t="shared" si="2"/>
        <v>6.193368</v>
      </c>
      <c r="O16" s="5">
        <f t="shared" si="3"/>
        <v>6.193368</v>
      </c>
      <c r="P16" s="5">
        <f t="shared" si="4"/>
        <v>6.652136000000001</v>
      </c>
      <c r="Q16" s="5"/>
      <c r="R16" s="5">
        <f t="shared" si="5"/>
        <v>3260.0054080000004</v>
      </c>
      <c r="S16" s="5"/>
      <c r="T16" s="5">
        <v>2948.9783399999997</v>
      </c>
      <c r="U16" s="1"/>
      <c r="V16" s="42">
        <f t="shared" si="6"/>
        <v>0.10546943115221416</v>
      </c>
      <c r="X16">
        <f t="shared" si="7"/>
        <v>528</v>
      </c>
    </row>
    <row r="17" spans="1:24" ht="12.75">
      <c r="A17" s="6" t="s">
        <v>15</v>
      </c>
      <c r="B17" s="6">
        <v>22</v>
      </c>
      <c r="C17" s="32">
        <f t="shared" si="8"/>
        <v>5.7346</v>
      </c>
      <c r="D17" s="13">
        <f>+E17+F17+G17+H17</f>
        <v>2</v>
      </c>
      <c r="E17" s="16">
        <v>0</v>
      </c>
      <c r="F17" s="17">
        <v>0</v>
      </c>
      <c r="G17" s="17">
        <v>2</v>
      </c>
      <c r="H17" s="18">
        <v>0</v>
      </c>
      <c r="I17" s="15">
        <v>1</v>
      </c>
      <c r="J17" s="6">
        <v>0</v>
      </c>
      <c r="K17" s="33">
        <f>$F$10*0</f>
        <v>0</v>
      </c>
      <c r="L17" s="5"/>
      <c r="M17" s="5">
        <f t="shared" si="1"/>
        <v>5.7346</v>
      </c>
      <c r="N17" s="5">
        <f t="shared" si="2"/>
        <v>6.193368</v>
      </c>
      <c r="O17" s="5">
        <f t="shared" si="3"/>
        <v>6.193368</v>
      </c>
      <c r="P17" s="5">
        <f t="shared" si="4"/>
        <v>6.652136000000001</v>
      </c>
      <c r="Q17" s="5"/>
      <c r="R17" s="5">
        <f t="shared" si="5"/>
        <v>272.508192</v>
      </c>
      <c r="S17" s="5"/>
      <c r="T17" s="5">
        <v>246.32916</v>
      </c>
      <c r="U17" s="1"/>
      <c r="V17" s="42">
        <f t="shared" si="6"/>
        <v>0.10627662595853453</v>
      </c>
      <c r="X17">
        <f t="shared" si="7"/>
        <v>44</v>
      </c>
    </row>
    <row r="18" spans="1:24" ht="12.75">
      <c r="A18" s="6" t="s">
        <v>12</v>
      </c>
      <c r="B18" s="6">
        <v>23</v>
      </c>
      <c r="C18" s="32">
        <f t="shared" si="8"/>
        <v>5.7346</v>
      </c>
      <c r="D18" s="13">
        <f t="shared" si="0"/>
        <v>1</v>
      </c>
      <c r="E18" s="16">
        <v>1</v>
      </c>
      <c r="F18" s="17">
        <v>0</v>
      </c>
      <c r="G18" s="17">
        <v>0</v>
      </c>
      <c r="H18" s="18">
        <v>0</v>
      </c>
      <c r="I18" s="15">
        <v>1</v>
      </c>
      <c r="J18" s="6">
        <v>0</v>
      </c>
      <c r="K18" s="33">
        <f aca="true" t="shared" si="9" ref="K18:K23">$F$10*1</f>
        <v>0.1</v>
      </c>
      <c r="L18" s="5"/>
      <c r="M18" s="5">
        <f t="shared" si="1"/>
        <v>5.8346</v>
      </c>
      <c r="N18" s="5">
        <f t="shared" si="2"/>
        <v>6.293368</v>
      </c>
      <c r="O18" s="5">
        <f t="shared" si="3"/>
        <v>6.293368</v>
      </c>
      <c r="P18" s="5">
        <f t="shared" si="4"/>
        <v>6.752136000000001</v>
      </c>
      <c r="Q18" s="5"/>
      <c r="R18" s="5">
        <f t="shared" si="5"/>
        <v>136.4958</v>
      </c>
      <c r="S18" s="5"/>
      <c r="T18" s="5">
        <v>126.0745</v>
      </c>
      <c r="U18" s="1"/>
      <c r="V18" s="42">
        <f t="shared" si="6"/>
        <v>0.08265985587886529</v>
      </c>
      <c r="X18">
        <f t="shared" si="7"/>
        <v>23</v>
      </c>
    </row>
    <row r="19" spans="1:24" ht="12.75">
      <c r="A19" s="6" t="s">
        <v>5</v>
      </c>
      <c r="B19" s="6">
        <v>24</v>
      </c>
      <c r="C19" s="32">
        <f t="shared" si="8"/>
        <v>5.7346</v>
      </c>
      <c r="D19" s="13">
        <f t="shared" si="0"/>
        <v>27</v>
      </c>
      <c r="E19" s="16">
        <v>27</v>
      </c>
      <c r="F19" s="17">
        <v>0</v>
      </c>
      <c r="G19" s="17">
        <v>0</v>
      </c>
      <c r="H19" s="18">
        <v>0</v>
      </c>
      <c r="I19" s="15">
        <v>1</v>
      </c>
      <c r="J19" s="6">
        <v>0</v>
      </c>
      <c r="K19" s="33">
        <f t="shared" si="9"/>
        <v>0.1</v>
      </c>
      <c r="L19" s="5"/>
      <c r="M19" s="5">
        <f t="shared" si="1"/>
        <v>5.8346</v>
      </c>
      <c r="N19" s="5">
        <f t="shared" si="2"/>
        <v>6.293368</v>
      </c>
      <c r="O19" s="5">
        <f t="shared" si="3"/>
        <v>6.293368</v>
      </c>
      <c r="P19" s="5">
        <f t="shared" si="4"/>
        <v>6.752136000000001</v>
      </c>
      <c r="Q19" s="5"/>
      <c r="R19" s="5">
        <f t="shared" si="5"/>
        <v>3845.6208</v>
      </c>
      <c r="S19" s="5"/>
      <c r="T19" s="5">
        <v>3552.012</v>
      </c>
      <c r="U19" s="1"/>
      <c r="V19" s="42">
        <f t="shared" si="6"/>
        <v>0.08265985587886526</v>
      </c>
      <c r="X19">
        <f t="shared" si="7"/>
        <v>648</v>
      </c>
    </row>
    <row r="20" spans="1:24" ht="12.75">
      <c r="A20" s="6" t="s">
        <v>9</v>
      </c>
      <c r="B20" s="6">
        <v>24</v>
      </c>
      <c r="C20" s="32">
        <f t="shared" si="8"/>
        <v>5.7346</v>
      </c>
      <c r="D20" s="13">
        <f t="shared" si="0"/>
        <v>22</v>
      </c>
      <c r="E20" s="16">
        <v>5</v>
      </c>
      <c r="F20" s="17">
        <v>5</v>
      </c>
      <c r="G20" s="17">
        <v>6</v>
      </c>
      <c r="H20" s="18">
        <v>6</v>
      </c>
      <c r="I20" s="15">
        <v>1</v>
      </c>
      <c r="J20" s="6">
        <v>0</v>
      </c>
      <c r="K20" s="33">
        <f t="shared" si="9"/>
        <v>0.1</v>
      </c>
      <c r="L20" s="5"/>
      <c r="M20" s="5">
        <f t="shared" si="1"/>
        <v>5.8346</v>
      </c>
      <c r="N20" s="5">
        <f t="shared" si="2"/>
        <v>6.293368</v>
      </c>
      <c r="O20" s="5">
        <f t="shared" si="3"/>
        <v>6.293368</v>
      </c>
      <c r="P20" s="5">
        <f t="shared" si="4"/>
        <v>6.752136000000001</v>
      </c>
      <c r="Q20" s="5"/>
      <c r="R20" s="5">
        <f t="shared" si="5"/>
        <v>3386.7087360000005</v>
      </c>
      <c r="S20" s="5"/>
      <c r="T20" s="5">
        <v>3069.15528</v>
      </c>
      <c r="U20" s="1"/>
      <c r="V20" s="42">
        <f t="shared" si="6"/>
        <v>0.1034660768288011</v>
      </c>
      <c r="X20">
        <f t="shared" si="7"/>
        <v>528</v>
      </c>
    </row>
    <row r="21" spans="1:24" ht="12.75">
      <c r="A21" s="6" t="s">
        <v>12</v>
      </c>
      <c r="B21" s="6">
        <v>24</v>
      </c>
      <c r="C21" s="32">
        <f t="shared" si="8"/>
        <v>5.7346</v>
      </c>
      <c r="D21" s="13">
        <f t="shared" si="0"/>
        <v>36</v>
      </c>
      <c r="E21" s="16">
        <v>7</v>
      </c>
      <c r="F21" s="17">
        <v>21</v>
      </c>
      <c r="G21" s="17">
        <v>5</v>
      </c>
      <c r="H21" s="18">
        <v>3</v>
      </c>
      <c r="I21" s="15">
        <v>1</v>
      </c>
      <c r="J21" s="6">
        <v>0</v>
      </c>
      <c r="K21" s="33">
        <f t="shared" si="9"/>
        <v>0.1</v>
      </c>
      <c r="L21" s="5"/>
      <c r="M21" s="5">
        <f t="shared" si="1"/>
        <v>5.8346</v>
      </c>
      <c r="N21" s="5">
        <f t="shared" si="2"/>
        <v>6.293368</v>
      </c>
      <c r="O21" s="5">
        <f t="shared" si="3"/>
        <v>6.293368</v>
      </c>
      <c r="P21" s="5">
        <f t="shared" si="4"/>
        <v>6.752136000000001</v>
      </c>
      <c r="Q21" s="5"/>
      <c r="R21" s="5">
        <f t="shared" si="5"/>
        <v>5479.828223999999</v>
      </c>
      <c r="S21" s="5"/>
      <c r="T21" s="5">
        <v>4979.38752</v>
      </c>
      <c r="U21" s="1"/>
      <c r="V21" s="42">
        <f t="shared" si="6"/>
        <v>0.10050246179674699</v>
      </c>
      <c r="X21">
        <f t="shared" si="7"/>
        <v>864</v>
      </c>
    </row>
    <row r="22" spans="1:24" ht="12.75">
      <c r="A22" s="6" t="s">
        <v>14</v>
      </c>
      <c r="B22" s="6">
        <v>24</v>
      </c>
      <c r="C22" s="32">
        <f t="shared" si="8"/>
        <v>5.7346</v>
      </c>
      <c r="D22" s="13">
        <f t="shared" si="0"/>
        <v>1</v>
      </c>
      <c r="E22" s="16">
        <v>0</v>
      </c>
      <c r="F22" s="17">
        <v>0</v>
      </c>
      <c r="G22" s="17">
        <v>1</v>
      </c>
      <c r="H22" s="18">
        <v>0</v>
      </c>
      <c r="I22" s="15">
        <v>1</v>
      </c>
      <c r="J22" s="6">
        <v>0</v>
      </c>
      <c r="K22" s="33">
        <f t="shared" si="9"/>
        <v>0.1</v>
      </c>
      <c r="L22" s="5"/>
      <c r="M22" s="5">
        <f t="shared" si="1"/>
        <v>5.8346</v>
      </c>
      <c r="N22" s="5">
        <f t="shared" si="2"/>
        <v>6.293368</v>
      </c>
      <c r="O22" s="5">
        <f t="shared" si="3"/>
        <v>6.293368</v>
      </c>
      <c r="P22" s="5">
        <f t="shared" si="4"/>
        <v>6.752136000000001</v>
      </c>
      <c r="Q22" s="5"/>
      <c r="R22" s="5">
        <f t="shared" si="5"/>
        <v>153.440832</v>
      </c>
      <c r="S22" s="5"/>
      <c r="T22" s="5">
        <v>139.16136</v>
      </c>
      <c r="U22" s="1"/>
      <c r="V22" s="42">
        <f t="shared" si="6"/>
        <v>0.10261089716283311</v>
      </c>
      <c r="X22">
        <f t="shared" si="7"/>
        <v>24</v>
      </c>
    </row>
    <row r="23" spans="1:24" ht="12.75">
      <c r="A23" s="6" t="s">
        <v>17</v>
      </c>
      <c r="B23" s="6">
        <v>24</v>
      </c>
      <c r="C23" s="32">
        <f t="shared" si="8"/>
        <v>5.7346</v>
      </c>
      <c r="D23" s="13">
        <f t="shared" si="0"/>
        <v>1</v>
      </c>
      <c r="E23" s="16">
        <v>0</v>
      </c>
      <c r="F23" s="17">
        <v>0</v>
      </c>
      <c r="G23" s="17">
        <v>1</v>
      </c>
      <c r="H23" s="18">
        <v>0</v>
      </c>
      <c r="I23" s="15">
        <v>1</v>
      </c>
      <c r="J23" s="6">
        <v>0</v>
      </c>
      <c r="K23" s="33">
        <f t="shared" si="9"/>
        <v>0.1</v>
      </c>
      <c r="L23" s="5"/>
      <c r="M23" s="5">
        <f t="shared" si="1"/>
        <v>5.8346</v>
      </c>
      <c r="N23" s="5">
        <f t="shared" si="2"/>
        <v>6.293368</v>
      </c>
      <c r="O23" s="5">
        <f t="shared" si="3"/>
        <v>6.293368</v>
      </c>
      <c r="P23" s="5">
        <f t="shared" si="4"/>
        <v>6.752136000000001</v>
      </c>
      <c r="Q23" s="5"/>
      <c r="R23" s="5">
        <f t="shared" si="5"/>
        <v>153.440832</v>
      </c>
      <c r="S23" s="5"/>
      <c r="T23" s="5">
        <v>139.16136</v>
      </c>
      <c r="U23" s="1"/>
      <c r="V23" s="42">
        <f t="shared" si="6"/>
        <v>0.10261089716283311</v>
      </c>
      <c r="X23">
        <f t="shared" si="7"/>
        <v>24</v>
      </c>
    </row>
    <row r="24" spans="1:24" ht="12.75">
      <c r="A24" s="6" t="s">
        <v>12</v>
      </c>
      <c r="B24" s="6">
        <v>25</v>
      </c>
      <c r="C24" s="32">
        <f aca="true" t="shared" si="10" ref="C24:C36">+$F$4*(1+$F$9)^2</f>
        <v>6.078676000000001</v>
      </c>
      <c r="D24" s="13">
        <f t="shared" si="0"/>
        <v>64</v>
      </c>
      <c r="E24" s="16">
        <v>19</v>
      </c>
      <c r="F24" s="17">
        <v>33</v>
      </c>
      <c r="G24" s="17">
        <v>10</v>
      </c>
      <c r="H24" s="18">
        <v>2</v>
      </c>
      <c r="I24" s="15">
        <v>1</v>
      </c>
      <c r="J24" s="6">
        <v>0</v>
      </c>
      <c r="K24" s="33">
        <f aca="true" t="shared" si="11" ref="K24:K36">$F$10*2</f>
        <v>0.2</v>
      </c>
      <c r="L24" s="5"/>
      <c r="M24" s="5">
        <f t="shared" si="1"/>
        <v>6.278676000000001</v>
      </c>
      <c r="N24" s="5">
        <f t="shared" si="2"/>
        <v>6.764970080000001</v>
      </c>
      <c r="O24" s="5">
        <f t="shared" si="3"/>
        <v>6.764970080000001</v>
      </c>
      <c r="P24" s="5">
        <f t="shared" si="4"/>
        <v>7.251264160000002</v>
      </c>
      <c r="Q24" s="5"/>
      <c r="R24" s="5">
        <f t="shared" si="5"/>
        <v>10937.277144000001</v>
      </c>
      <c r="S24" s="5"/>
      <c r="T24" s="5">
        <v>9903.883037500002</v>
      </c>
      <c r="U24" s="1"/>
      <c r="V24" s="42">
        <f t="shared" si="6"/>
        <v>0.10434231731000486</v>
      </c>
      <c r="X24">
        <f t="shared" si="7"/>
        <v>1600</v>
      </c>
    </row>
    <row r="25" spans="1:24" ht="12.75">
      <c r="A25" s="6" t="s">
        <v>15</v>
      </c>
      <c r="B25" s="6">
        <v>25</v>
      </c>
      <c r="C25" s="32">
        <f t="shared" si="10"/>
        <v>6.078676000000001</v>
      </c>
      <c r="D25" s="13">
        <f t="shared" si="0"/>
        <v>1</v>
      </c>
      <c r="E25" s="16">
        <v>1</v>
      </c>
      <c r="F25" s="17">
        <v>0</v>
      </c>
      <c r="G25" s="17">
        <v>0</v>
      </c>
      <c r="H25" s="18">
        <v>0</v>
      </c>
      <c r="I25" s="15">
        <v>1</v>
      </c>
      <c r="J25" s="6">
        <v>0</v>
      </c>
      <c r="K25" s="33">
        <f t="shared" si="11"/>
        <v>0.2</v>
      </c>
      <c r="L25" s="5"/>
      <c r="M25" s="5">
        <f t="shared" si="1"/>
        <v>6.278676000000001</v>
      </c>
      <c r="N25" s="5">
        <f t="shared" si="2"/>
        <v>6.764970080000001</v>
      </c>
      <c r="O25" s="5">
        <f t="shared" si="3"/>
        <v>6.764970080000001</v>
      </c>
      <c r="P25" s="5">
        <f t="shared" si="4"/>
        <v>7.251264160000002</v>
      </c>
      <c r="Q25" s="5"/>
      <c r="R25" s="5">
        <f t="shared" si="5"/>
        <v>161.9669</v>
      </c>
      <c r="S25" s="5"/>
      <c r="T25" s="5">
        <v>148.639375</v>
      </c>
      <c r="U25" s="1"/>
      <c r="V25" s="42">
        <f t="shared" si="6"/>
        <v>0.08966348923358974</v>
      </c>
      <c r="X25">
        <f t="shared" si="7"/>
        <v>25</v>
      </c>
    </row>
    <row r="26" spans="1:24" ht="12.75">
      <c r="A26" s="6" t="s">
        <v>17</v>
      </c>
      <c r="B26" s="6">
        <v>25</v>
      </c>
      <c r="C26" s="32">
        <f t="shared" si="10"/>
        <v>6.078676000000001</v>
      </c>
      <c r="D26" s="13">
        <f aca="true" t="shared" si="12" ref="D26:D64">+E26+F26+G26+H26</f>
        <v>32</v>
      </c>
      <c r="E26" s="16">
        <v>10</v>
      </c>
      <c r="F26" s="17">
        <v>6</v>
      </c>
      <c r="G26" s="17">
        <v>12</v>
      </c>
      <c r="H26" s="18">
        <v>4</v>
      </c>
      <c r="I26" s="15">
        <v>1</v>
      </c>
      <c r="J26" s="6">
        <v>0</v>
      </c>
      <c r="K26" s="33">
        <f t="shared" si="11"/>
        <v>0.2</v>
      </c>
      <c r="L26" s="5"/>
      <c r="M26" s="5">
        <f t="shared" si="1"/>
        <v>6.278676000000001</v>
      </c>
      <c r="N26" s="5">
        <f t="shared" si="2"/>
        <v>6.764970080000001</v>
      </c>
      <c r="O26" s="5">
        <f t="shared" si="3"/>
        <v>6.764970080000001</v>
      </c>
      <c r="P26" s="5">
        <f t="shared" si="4"/>
        <v>7.251264160000002</v>
      </c>
      <c r="Q26" s="5"/>
      <c r="R26" s="5">
        <f t="shared" si="5"/>
        <v>5499.031952</v>
      </c>
      <c r="S26" s="5"/>
      <c r="T26" s="5">
        <v>4972.737425000001</v>
      </c>
      <c r="U26" s="1"/>
      <c r="V26" s="42">
        <f t="shared" si="6"/>
        <v>0.10583597765570721</v>
      </c>
      <c r="X26">
        <f t="shared" si="7"/>
        <v>800</v>
      </c>
    </row>
    <row r="27" spans="1:24" ht="12.75">
      <c r="A27" s="6" t="s">
        <v>14</v>
      </c>
      <c r="B27" s="6">
        <v>26</v>
      </c>
      <c r="C27" s="32">
        <f t="shared" si="10"/>
        <v>6.078676000000001</v>
      </c>
      <c r="D27" s="13">
        <f t="shared" si="12"/>
        <v>2</v>
      </c>
      <c r="E27" s="16">
        <v>0</v>
      </c>
      <c r="F27" s="17">
        <v>0</v>
      </c>
      <c r="G27" s="17">
        <v>2</v>
      </c>
      <c r="H27" s="18">
        <v>0</v>
      </c>
      <c r="I27" s="15">
        <v>1</v>
      </c>
      <c r="J27" s="6">
        <v>0</v>
      </c>
      <c r="K27" s="33">
        <f t="shared" si="11"/>
        <v>0.2</v>
      </c>
      <c r="L27" s="5"/>
      <c r="M27" s="5">
        <f t="shared" si="1"/>
        <v>6.278676000000001</v>
      </c>
      <c r="N27" s="5">
        <f t="shared" si="2"/>
        <v>6.764970080000001</v>
      </c>
      <c r="O27" s="5">
        <f t="shared" si="3"/>
        <v>6.764970080000001</v>
      </c>
      <c r="P27" s="5">
        <f t="shared" si="4"/>
        <v>7.251264160000002</v>
      </c>
      <c r="Q27" s="5"/>
      <c r="R27" s="5">
        <f t="shared" si="5"/>
        <v>362.17844416</v>
      </c>
      <c r="S27" s="5"/>
      <c r="T27" s="5">
        <v>326.472094</v>
      </c>
      <c r="U27" s="1"/>
      <c r="V27" s="42">
        <f t="shared" si="6"/>
        <v>0.1093702978484893</v>
      </c>
      <c r="X27">
        <f t="shared" si="7"/>
        <v>52</v>
      </c>
    </row>
    <row r="28" spans="1:24" ht="12.75">
      <c r="A28" s="6" t="s">
        <v>15</v>
      </c>
      <c r="B28" s="6">
        <v>26</v>
      </c>
      <c r="C28" s="32">
        <f t="shared" si="10"/>
        <v>6.078676000000001</v>
      </c>
      <c r="D28" s="13">
        <f t="shared" si="12"/>
        <v>73</v>
      </c>
      <c r="E28" s="16">
        <v>32</v>
      </c>
      <c r="F28" s="17">
        <v>24</v>
      </c>
      <c r="G28" s="17">
        <v>16</v>
      </c>
      <c r="H28" s="18">
        <v>1</v>
      </c>
      <c r="I28" s="15">
        <v>1</v>
      </c>
      <c r="J28" s="6">
        <v>0</v>
      </c>
      <c r="K28" s="33">
        <f t="shared" si="11"/>
        <v>0.2</v>
      </c>
      <c r="L28" s="5"/>
      <c r="M28" s="5">
        <f t="shared" si="1"/>
        <v>6.278676000000001</v>
      </c>
      <c r="N28" s="5">
        <f t="shared" si="2"/>
        <v>6.764970080000001</v>
      </c>
      <c r="O28" s="5">
        <f t="shared" si="3"/>
        <v>6.764970080000001</v>
      </c>
      <c r="P28" s="5">
        <f t="shared" si="4"/>
        <v>7.251264160000002</v>
      </c>
      <c r="Q28" s="5"/>
      <c r="R28" s="5">
        <f t="shared" si="5"/>
        <v>12827.560183360003</v>
      </c>
      <c r="S28" s="5"/>
      <c r="T28" s="5">
        <v>11648.047424000002</v>
      </c>
      <c r="U28" s="1"/>
      <c r="V28" s="42">
        <f t="shared" si="6"/>
        <v>0.1012627023589976</v>
      </c>
      <c r="X28">
        <f t="shared" si="7"/>
        <v>1898</v>
      </c>
    </row>
    <row r="29" spans="1:24" ht="12.75">
      <c r="A29" s="6" t="s">
        <v>17</v>
      </c>
      <c r="B29" s="6">
        <v>26</v>
      </c>
      <c r="C29" s="32">
        <f t="shared" si="10"/>
        <v>6.078676000000001</v>
      </c>
      <c r="D29" s="13">
        <f t="shared" si="12"/>
        <v>1</v>
      </c>
      <c r="E29" s="16">
        <v>0</v>
      </c>
      <c r="F29" s="17">
        <v>0</v>
      </c>
      <c r="G29" s="17">
        <v>0</v>
      </c>
      <c r="H29" s="18">
        <v>1</v>
      </c>
      <c r="I29" s="15">
        <v>1</v>
      </c>
      <c r="J29" s="6">
        <v>0</v>
      </c>
      <c r="K29" s="33">
        <f t="shared" si="11"/>
        <v>0.2</v>
      </c>
      <c r="L29" s="5"/>
      <c r="M29" s="5">
        <f t="shared" si="1"/>
        <v>6.278676000000001</v>
      </c>
      <c r="N29" s="5">
        <f t="shared" si="2"/>
        <v>6.764970080000001</v>
      </c>
      <c r="O29" s="5">
        <f t="shared" si="3"/>
        <v>6.764970080000001</v>
      </c>
      <c r="P29" s="5">
        <f t="shared" si="4"/>
        <v>7.251264160000002</v>
      </c>
      <c r="Q29" s="5"/>
      <c r="R29" s="5">
        <f t="shared" si="5"/>
        <v>193.73286816000004</v>
      </c>
      <c r="S29" s="5"/>
      <c r="T29" s="5">
        <v>171.88714400000003</v>
      </c>
      <c r="U29" s="1"/>
      <c r="V29" s="42">
        <f t="shared" si="6"/>
        <v>0.12709341520038286</v>
      </c>
      <c r="X29">
        <f t="shared" si="7"/>
        <v>26</v>
      </c>
    </row>
    <row r="30" spans="1:24" ht="12.75">
      <c r="A30" s="6" t="s">
        <v>3</v>
      </c>
      <c r="B30" s="6">
        <v>28</v>
      </c>
      <c r="C30" s="32">
        <f t="shared" si="10"/>
        <v>6.078676000000001</v>
      </c>
      <c r="D30" s="13">
        <f t="shared" si="12"/>
        <v>32</v>
      </c>
      <c r="E30" s="16">
        <v>2</v>
      </c>
      <c r="F30" s="17">
        <v>1</v>
      </c>
      <c r="G30" s="17">
        <v>12</v>
      </c>
      <c r="H30" s="18">
        <v>17</v>
      </c>
      <c r="I30" s="15">
        <v>1</v>
      </c>
      <c r="J30" s="6">
        <v>0</v>
      </c>
      <c r="K30" s="33">
        <f t="shared" si="11"/>
        <v>0.2</v>
      </c>
      <c r="L30" s="5"/>
      <c r="M30" s="5">
        <f t="shared" si="1"/>
        <v>6.278676000000001</v>
      </c>
      <c r="N30" s="5">
        <f t="shared" si="2"/>
        <v>6.764970080000001</v>
      </c>
      <c r="O30" s="5">
        <f t="shared" si="3"/>
        <v>6.764970080000001</v>
      </c>
      <c r="P30" s="5">
        <f t="shared" si="4"/>
        <v>7.251264160000002</v>
      </c>
      <c r="Q30" s="27"/>
      <c r="R30" s="5">
        <f t="shared" si="5"/>
        <v>6444.856705280002</v>
      </c>
      <c r="S30" s="5"/>
      <c r="T30" s="5">
        <v>5765.113802000001</v>
      </c>
      <c r="U30" s="1"/>
      <c r="V30" s="42">
        <f t="shared" si="6"/>
        <v>0.11790624203188989</v>
      </c>
      <c r="X30">
        <f t="shared" si="7"/>
        <v>896</v>
      </c>
    </row>
    <row r="31" spans="1:24" ht="12.75">
      <c r="A31" s="6" t="s">
        <v>5</v>
      </c>
      <c r="B31" s="6">
        <v>28</v>
      </c>
      <c r="C31" s="32">
        <f t="shared" si="10"/>
        <v>6.078676000000001</v>
      </c>
      <c r="D31" s="13">
        <f t="shared" si="12"/>
        <v>27</v>
      </c>
      <c r="E31" s="16">
        <v>0</v>
      </c>
      <c r="F31" s="17">
        <v>27</v>
      </c>
      <c r="G31" s="17">
        <v>0</v>
      </c>
      <c r="H31" s="18">
        <v>0</v>
      </c>
      <c r="I31" s="15">
        <v>1</v>
      </c>
      <c r="J31" s="6">
        <v>0</v>
      </c>
      <c r="K31" s="33">
        <f t="shared" si="11"/>
        <v>0.2</v>
      </c>
      <c r="L31" s="5"/>
      <c r="M31" s="5">
        <f t="shared" si="1"/>
        <v>6.278676000000001</v>
      </c>
      <c r="N31" s="5">
        <f t="shared" si="2"/>
        <v>6.764970080000001</v>
      </c>
      <c r="O31" s="5">
        <f t="shared" si="3"/>
        <v>6.764970080000001</v>
      </c>
      <c r="P31" s="5">
        <f t="shared" si="4"/>
        <v>7.251264160000002</v>
      </c>
      <c r="Q31" s="5"/>
      <c r="R31" s="5">
        <f t="shared" si="5"/>
        <v>5265.517380480001</v>
      </c>
      <c r="S31" s="5"/>
      <c r="T31" s="5">
        <v>4746.401982</v>
      </c>
      <c r="U31" s="1"/>
      <c r="V31" s="42">
        <f t="shared" si="6"/>
        <v>0.10937029784848937</v>
      </c>
      <c r="X31">
        <f t="shared" si="7"/>
        <v>756</v>
      </c>
    </row>
    <row r="32" spans="1:24" ht="12.75">
      <c r="A32" s="6" t="s">
        <v>9</v>
      </c>
      <c r="B32" s="6">
        <v>28</v>
      </c>
      <c r="C32" s="32">
        <f t="shared" si="10"/>
        <v>6.078676000000001</v>
      </c>
      <c r="D32" s="13">
        <f>+E32+F32+G32+H32</f>
        <v>21</v>
      </c>
      <c r="E32" s="16">
        <v>5</v>
      </c>
      <c r="F32" s="17">
        <v>7</v>
      </c>
      <c r="G32" s="17">
        <v>5</v>
      </c>
      <c r="H32" s="18">
        <v>4</v>
      </c>
      <c r="I32" s="15">
        <v>1</v>
      </c>
      <c r="J32" s="6">
        <v>0</v>
      </c>
      <c r="K32" s="33">
        <f t="shared" si="11"/>
        <v>0.2</v>
      </c>
      <c r="L32" s="5"/>
      <c r="M32" s="5">
        <f t="shared" si="1"/>
        <v>6.278676000000001</v>
      </c>
      <c r="N32" s="5">
        <f t="shared" si="2"/>
        <v>6.764970080000001</v>
      </c>
      <c r="O32" s="5">
        <f t="shared" si="3"/>
        <v>6.764970080000001</v>
      </c>
      <c r="P32" s="5">
        <f t="shared" si="4"/>
        <v>7.251264160000002</v>
      </c>
      <c r="Q32" s="5"/>
      <c r="R32" s="5">
        <f t="shared" si="5"/>
        <v>4081.7861728000007</v>
      </c>
      <c r="S32" s="5"/>
      <c r="T32" s="5">
        <v>3682.32942</v>
      </c>
      <c r="U32" s="1"/>
      <c r="V32" s="42">
        <f t="shared" si="6"/>
        <v>0.10847936380444764</v>
      </c>
      <c r="X32">
        <f t="shared" si="7"/>
        <v>588</v>
      </c>
    </row>
    <row r="33" spans="1:24" ht="12.75">
      <c r="A33" s="6" t="s">
        <v>12</v>
      </c>
      <c r="B33" s="6">
        <v>28</v>
      </c>
      <c r="C33" s="32">
        <f t="shared" si="10"/>
        <v>6.078676000000001</v>
      </c>
      <c r="D33" s="13">
        <f>+E33+F33+G33+H33</f>
        <v>51</v>
      </c>
      <c r="E33" s="16">
        <v>21</v>
      </c>
      <c r="F33" s="17">
        <v>18</v>
      </c>
      <c r="G33" s="17">
        <v>12</v>
      </c>
      <c r="H33" s="18">
        <v>0</v>
      </c>
      <c r="I33" s="15">
        <v>1</v>
      </c>
      <c r="J33" s="6">
        <v>0</v>
      </c>
      <c r="K33" s="33">
        <f t="shared" si="11"/>
        <v>0.2</v>
      </c>
      <c r="L33" s="5"/>
      <c r="M33" s="5">
        <f t="shared" si="1"/>
        <v>6.278676000000001</v>
      </c>
      <c r="N33" s="5">
        <f t="shared" si="2"/>
        <v>6.764970080000001</v>
      </c>
      <c r="O33" s="5">
        <f t="shared" si="3"/>
        <v>6.764970080000001</v>
      </c>
      <c r="P33" s="5">
        <f t="shared" si="4"/>
        <v>7.251264160000002</v>
      </c>
      <c r="Q33" s="5"/>
      <c r="R33" s="5">
        <f t="shared" si="5"/>
        <v>9660.036355200002</v>
      </c>
      <c r="S33" s="5"/>
      <c r="T33" s="5">
        <v>8769.778080000002</v>
      </c>
      <c r="U33" s="1"/>
      <c r="V33" s="42">
        <f t="shared" si="6"/>
        <v>0.10151434472786564</v>
      </c>
      <c r="X33">
        <f t="shared" si="7"/>
        <v>1428</v>
      </c>
    </row>
    <row r="34" spans="1:24" ht="12.75">
      <c r="A34" s="6" t="s">
        <v>14</v>
      </c>
      <c r="B34" s="6">
        <v>28</v>
      </c>
      <c r="C34" s="32">
        <f t="shared" si="10"/>
        <v>6.078676000000001</v>
      </c>
      <c r="D34" s="13">
        <f t="shared" si="12"/>
        <v>23</v>
      </c>
      <c r="E34" s="16">
        <v>16</v>
      </c>
      <c r="F34" s="17">
        <v>0</v>
      </c>
      <c r="G34" s="17">
        <v>7</v>
      </c>
      <c r="H34" s="18">
        <v>0</v>
      </c>
      <c r="I34" s="15">
        <v>1</v>
      </c>
      <c r="J34" s="6">
        <v>0</v>
      </c>
      <c r="K34" s="33">
        <f t="shared" si="11"/>
        <v>0.2</v>
      </c>
      <c r="L34" s="5"/>
      <c r="M34" s="5">
        <f t="shared" si="1"/>
        <v>6.278676000000001</v>
      </c>
      <c r="N34" s="5">
        <f t="shared" si="2"/>
        <v>6.764970080000001</v>
      </c>
      <c r="O34" s="5">
        <f t="shared" si="3"/>
        <v>6.764970080000001</v>
      </c>
      <c r="P34" s="5">
        <f t="shared" si="4"/>
        <v>7.251264160000002</v>
      </c>
      <c r="Q34" s="5"/>
      <c r="R34" s="5">
        <f t="shared" si="5"/>
        <v>4267.580983680001</v>
      </c>
      <c r="S34" s="5"/>
      <c r="T34" s="5">
        <v>3894.1662620000006</v>
      </c>
      <c r="U34" s="1"/>
      <c r="V34" s="42">
        <f t="shared" si="6"/>
        <v>0.09589080089462296</v>
      </c>
      <c r="X34">
        <f t="shared" si="7"/>
        <v>644</v>
      </c>
    </row>
    <row r="35" spans="1:24" ht="12.75">
      <c r="A35" s="6" t="s">
        <v>15</v>
      </c>
      <c r="B35" s="6">
        <v>28</v>
      </c>
      <c r="C35" s="32">
        <f t="shared" si="10"/>
        <v>6.078676000000001</v>
      </c>
      <c r="D35" s="13">
        <f t="shared" si="12"/>
        <v>24</v>
      </c>
      <c r="E35" s="16">
        <v>24</v>
      </c>
      <c r="F35" s="17">
        <v>0</v>
      </c>
      <c r="G35" s="17">
        <v>0</v>
      </c>
      <c r="H35" s="18">
        <v>0</v>
      </c>
      <c r="I35" s="15">
        <v>1</v>
      </c>
      <c r="J35" s="6">
        <v>0</v>
      </c>
      <c r="K35" s="33">
        <f t="shared" si="11"/>
        <v>0.2</v>
      </c>
      <c r="L35" s="5"/>
      <c r="M35" s="5">
        <f t="shared" si="1"/>
        <v>6.278676000000001</v>
      </c>
      <c r="N35" s="5">
        <f t="shared" si="2"/>
        <v>6.764970080000001</v>
      </c>
      <c r="O35" s="5">
        <f t="shared" si="3"/>
        <v>6.764970080000001</v>
      </c>
      <c r="P35" s="5">
        <f t="shared" si="4"/>
        <v>7.251264160000002</v>
      </c>
      <c r="Q35" s="5"/>
      <c r="R35" s="5">
        <f t="shared" si="5"/>
        <v>4353.670272</v>
      </c>
      <c r="S35" s="5"/>
      <c r="T35" s="5">
        <v>3995.4264</v>
      </c>
      <c r="U35" s="1"/>
      <c r="V35" s="42">
        <f t="shared" si="6"/>
        <v>0.08966348923358981</v>
      </c>
      <c r="X35">
        <f t="shared" si="7"/>
        <v>672</v>
      </c>
    </row>
    <row r="36" spans="1:24" ht="12.75">
      <c r="A36" s="6" t="s">
        <v>17</v>
      </c>
      <c r="B36" s="6">
        <v>28</v>
      </c>
      <c r="C36" s="32">
        <f t="shared" si="10"/>
        <v>6.078676000000001</v>
      </c>
      <c r="D36" s="13">
        <f t="shared" si="12"/>
        <v>43</v>
      </c>
      <c r="E36" s="16">
        <v>12</v>
      </c>
      <c r="F36" s="17">
        <v>22</v>
      </c>
      <c r="G36" s="17">
        <v>9</v>
      </c>
      <c r="H36" s="18">
        <v>0</v>
      </c>
      <c r="I36" s="15">
        <v>1</v>
      </c>
      <c r="J36" s="6">
        <v>0</v>
      </c>
      <c r="K36" s="33">
        <f t="shared" si="11"/>
        <v>0.2</v>
      </c>
      <c r="L36" s="5"/>
      <c r="M36" s="5">
        <f t="shared" si="1"/>
        <v>6.278676000000001</v>
      </c>
      <c r="N36" s="5">
        <f t="shared" si="2"/>
        <v>6.764970080000001</v>
      </c>
      <c r="O36" s="5">
        <f t="shared" si="3"/>
        <v>6.764970080000001</v>
      </c>
      <c r="P36" s="5">
        <f t="shared" si="4"/>
        <v>7.251264160000002</v>
      </c>
      <c r="Q36" s="5"/>
      <c r="R36" s="5">
        <f t="shared" si="5"/>
        <v>8222.42916544</v>
      </c>
      <c r="S36" s="5"/>
      <c r="T36" s="5">
        <v>7447.285846000001</v>
      </c>
      <c r="U36" s="1"/>
      <c r="V36" s="42">
        <f t="shared" si="6"/>
        <v>0.10408400261100971</v>
      </c>
      <c r="X36">
        <f t="shared" si="7"/>
        <v>1204</v>
      </c>
    </row>
    <row r="37" spans="1:24" ht="12.75">
      <c r="A37" s="6" t="s">
        <v>5</v>
      </c>
      <c r="B37" s="6">
        <v>30</v>
      </c>
      <c r="C37" s="32">
        <f aca="true" t="shared" si="13" ref="C37:C48">+$F$4*(1+$F$9)^3</f>
        <v>6.443396560000002</v>
      </c>
      <c r="D37" s="13">
        <f t="shared" si="12"/>
        <v>1</v>
      </c>
      <c r="E37" s="16">
        <v>0</v>
      </c>
      <c r="F37" s="17">
        <v>1</v>
      </c>
      <c r="G37" s="17">
        <v>0</v>
      </c>
      <c r="H37" s="18">
        <v>0</v>
      </c>
      <c r="I37" s="15">
        <v>1</v>
      </c>
      <c r="J37" s="6">
        <v>1</v>
      </c>
      <c r="K37" s="33">
        <f aca="true" t="shared" si="14" ref="K37:K48">$F$10*3</f>
        <v>0.30000000000000004</v>
      </c>
      <c r="L37" s="5"/>
      <c r="M37" s="5">
        <f t="shared" si="1"/>
        <v>8.032075872000002</v>
      </c>
      <c r="N37" s="5">
        <f t="shared" si="2"/>
        <v>8.547547596800003</v>
      </c>
      <c r="O37" s="5">
        <f t="shared" si="3"/>
        <v>8.547547596800003</v>
      </c>
      <c r="P37" s="5">
        <f t="shared" si="4"/>
        <v>9.063019321600004</v>
      </c>
      <c r="Q37" s="5"/>
      <c r="R37" s="5">
        <f t="shared" si="5"/>
        <v>265.4264279040001</v>
      </c>
      <c r="S37" s="5"/>
      <c r="T37" s="5">
        <v>238.10387175000005</v>
      </c>
      <c r="U37" s="1"/>
      <c r="V37" s="42">
        <f t="shared" si="6"/>
        <v>0.11475057483604331</v>
      </c>
      <c r="X37">
        <f t="shared" si="7"/>
        <v>30</v>
      </c>
    </row>
    <row r="38" spans="1:24" ht="12.75">
      <c r="A38" s="6" t="s">
        <v>6</v>
      </c>
      <c r="B38" s="6">
        <v>30</v>
      </c>
      <c r="C38" s="32">
        <f t="shared" si="13"/>
        <v>6.443396560000002</v>
      </c>
      <c r="D38" s="13">
        <f t="shared" si="12"/>
        <v>1</v>
      </c>
      <c r="E38" s="16">
        <v>0</v>
      </c>
      <c r="F38" s="17">
        <v>1</v>
      </c>
      <c r="G38" s="17">
        <v>0</v>
      </c>
      <c r="H38" s="18">
        <v>0</v>
      </c>
      <c r="I38" s="15">
        <v>0</v>
      </c>
      <c r="J38" s="6">
        <v>1</v>
      </c>
      <c r="K38" s="33">
        <f t="shared" si="14"/>
        <v>0.30000000000000004</v>
      </c>
      <c r="L38" s="5"/>
      <c r="M38" s="5">
        <f t="shared" si="1"/>
        <v>7.732075872000002</v>
      </c>
      <c r="N38" s="5">
        <f t="shared" si="2"/>
        <v>8.247547596800002</v>
      </c>
      <c r="O38" s="5">
        <f t="shared" si="3"/>
        <v>8.247547596800002</v>
      </c>
      <c r="P38" s="5">
        <f t="shared" si="4"/>
        <v>8.763019321600003</v>
      </c>
      <c r="Q38" s="5"/>
      <c r="R38" s="5">
        <f t="shared" si="5"/>
        <v>247.42642790400006</v>
      </c>
      <c r="S38" s="5"/>
      <c r="T38" s="5">
        <v>220.10387175000005</v>
      </c>
      <c r="U38" s="1"/>
      <c r="V38" s="42">
        <f t="shared" si="6"/>
        <v>0.12413482751013899</v>
      </c>
      <c r="X38">
        <f t="shared" si="7"/>
        <v>30</v>
      </c>
    </row>
    <row r="39" spans="1:24" ht="12.75">
      <c r="A39" s="6" t="s">
        <v>9</v>
      </c>
      <c r="B39" s="6">
        <v>30</v>
      </c>
      <c r="C39" s="32">
        <f t="shared" si="13"/>
        <v>6.443396560000002</v>
      </c>
      <c r="D39" s="13">
        <f t="shared" si="12"/>
        <v>11</v>
      </c>
      <c r="E39" s="16">
        <v>7</v>
      </c>
      <c r="F39" s="17">
        <v>0</v>
      </c>
      <c r="G39" s="17">
        <v>4</v>
      </c>
      <c r="H39" s="18">
        <v>0</v>
      </c>
      <c r="I39" s="15">
        <v>1</v>
      </c>
      <c r="J39" s="6">
        <v>0</v>
      </c>
      <c r="K39" s="33">
        <f t="shared" si="14"/>
        <v>0.30000000000000004</v>
      </c>
      <c r="L39" s="5"/>
      <c r="M39" s="5">
        <f t="shared" si="1"/>
        <v>6.743396560000002</v>
      </c>
      <c r="N39" s="5">
        <f t="shared" si="2"/>
        <v>7.258868284800002</v>
      </c>
      <c r="O39" s="5">
        <f t="shared" si="3"/>
        <v>7.258868284800002</v>
      </c>
      <c r="P39" s="5">
        <f t="shared" si="4"/>
        <v>7.774340009600003</v>
      </c>
      <c r="Q39" s="5"/>
      <c r="R39" s="5">
        <f t="shared" si="5"/>
        <v>2386.1774717760004</v>
      </c>
      <c r="S39" s="5"/>
      <c r="T39" s="5">
        <v>2161.4662845000003</v>
      </c>
      <c r="U39" s="1"/>
      <c r="V39" s="42">
        <f t="shared" si="6"/>
        <v>0.10396238372414923</v>
      </c>
      <c r="X39">
        <f t="shared" si="7"/>
        <v>330</v>
      </c>
    </row>
    <row r="40" spans="1:24" ht="12.75">
      <c r="A40" s="6" t="s">
        <v>14</v>
      </c>
      <c r="B40" s="6">
        <v>30</v>
      </c>
      <c r="C40" s="32">
        <f t="shared" si="13"/>
        <v>6.443396560000002</v>
      </c>
      <c r="D40" s="13">
        <f t="shared" si="12"/>
        <v>21</v>
      </c>
      <c r="E40" s="16">
        <v>12</v>
      </c>
      <c r="F40" s="17">
        <v>0</v>
      </c>
      <c r="G40" s="17">
        <v>9</v>
      </c>
      <c r="H40" s="18">
        <v>0</v>
      </c>
      <c r="I40" s="15">
        <v>1</v>
      </c>
      <c r="J40" s="6">
        <v>0</v>
      </c>
      <c r="K40" s="33">
        <f t="shared" si="14"/>
        <v>0.30000000000000004</v>
      </c>
      <c r="L40" s="5"/>
      <c r="M40" s="5">
        <f t="shared" si="1"/>
        <v>6.743396560000002</v>
      </c>
      <c r="N40" s="5">
        <f t="shared" si="2"/>
        <v>7.258868284800002</v>
      </c>
      <c r="O40" s="5">
        <f t="shared" si="3"/>
        <v>7.258868284800002</v>
      </c>
      <c r="P40" s="5">
        <f t="shared" si="4"/>
        <v>7.774340009600003</v>
      </c>
      <c r="Q40" s="5"/>
      <c r="R40" s="5">
        <f t="shared" si="5"/>
        <v>4576.517198496001</v>
      </c>
      <c r="S40" s="5"/>
      <c r="T40" s="5">
        <v>4140.728093250002</v>
      </c>
      <c r="U40" s="1"/>
      <c r="V40" s="42">
        <f t="shared" si="6"/>
        <v>0.10524455975662823</v>
      </c>
      <c r="X40">
        <f t="shared" si="7"/>
        <v>630</v>
      </c>
    </row>
    <row r="41" spans="1:24" ht="12.75">
      <c r="A41" s="6" t="s">
        <v>17</v>
      </c>
      <c r="B41" s="6">
        <v>30</v>
      </c>
      <c r="C41" s="32">
        <f t="shared" si="13"/>
        <v>6.443396560000002</v>
      </c>
      <c r="D41" s="13">
        <f t="shared" si="12"/>
        <v>41</v>
      </c>
      <c r="E41" s="16">
        <v>14</v>
      </c>
      <c r="F41" s="17">
        <v>20</v>
      </c>
      <c r="G41" s="17">
        <v>6</v>
      </c>
      <c r="H41" s="18">
        <v>1</v>
      </c>
      <c r="I41" s="15">
        <v>1</v>
      </c>
      <c r="J41" s="6">
        <v>0</v>
      </c>
      <c r="K41" s="33">
        <f t="shared" si="14"/>
        <v>0.30000000000000004</v>
      </c>
      <c r="L41" s="5"/>
      <c r="M41" s="5">
        <f t="shared" si="1"/>
        <v>6.743396560000002</v>
      </c>
      <c r="N41" s="5">
        <f t="shared" si="2"/>
        <v>7.258868284800002</v>
      </c>
      <c r="O41" s="5">
        <f t="shared" si="3"/>
        <v>7.258868284800002</v>
      </c>
      <c r="P41" s="5">
        <f t="shared" si="4"/>
        <v>7.774340009600003</v>
      </c>
      <c r="Q41" s="5"/>
      <c r="R41" s="5">
        <f t="shared" si="5"/>
        <v>9096.374017632003</v>
      </c>
      <c r="S41" s="5"/>
      <c r="T41" s="5">
        <v>8193.5819415</v>
      </c>
      <c r="U41" s="1"/>
      <c r="V41" s="42">
        <f t="shared" si="6"/>
        <v>0.11018283365903919</v>
      </c>
      <c r="X41">
        <f t="shared" si="7"/>
        <v>1230</v>
      </c>
    </row>
    <row r="42" spans="1:24" ht="12.75">
      <c r="A42" s="6" t="s">
        <v>17</v>
      </c>
      <c r="B42" s="6">
        <v>31</v>
      </c>
      <c r="C42" s="32">
        <f t="shared" si="13"/>
        <v>6.443396560000002</v>
      </c>
      <c r="D42" s="13">
        <f>+E42+F42+G42+H42</f>
        <v>1</v>
      </c>
      <c r="E42" s="16">
        <v>0</v>
      </c>
      <c r="F42" s="17">
        <v>0</v>
      </c>
      <c r="G42" s="17">
        <v>1</v>
      </c>
      <c r="H42" s="18">
        <v>0</v>
      </c>
      <c r="I42" s="15">
        <v>1</v>
      </c>
      <c r="J42" s="6">
        <v>0</v>
      </c>
      <c r="K42" s="33">
        <f t="shared" si="14"/>
        <v>0.30000000000000004</v>
      </c>
      <c r="L42" s="5"/>
      <c r="M42" s="5">
        <f t="shared" si="1"/>
        <v>6.743396560000002</v>
      </c>
      <c r="N42" s="5">
        <f t="shared" si="2"/>
        <v>7.258868284800002</v>
      </c>
      <c r="O42" s="5">
        <f t="shared" si="3"/>
        <v>7.258868284800002</v>
      </c>
      <c r="P42" s="5">
        <f t="shared" si="4"/>
        <v>7.774340009600003</v>
      </c>
      <c r="Q42" s="5"/>
      <c r="R42" s="5">
        <f t="shared" si="5"/>
        <v>234.32491682880007</v>
      </c>
      <c r="S42" s="5"/>
      <c r="T42" s="5">
        <v>209.93897422500007</v>
      </c>
      <c r="U42" s="1"/>
      <c r="V42" s="42">
        <f t="shared" si="6"/>
        <v>0.11615729139299598</v>
      </c>
      <c r="X42">
        <f t="shared" si="7"/>
        <v>31</v>
      </c>
    </row>
    <row r="43" spans="1:24" ht="12.75">
      <c r="A43" s="6" t="s">
        <v>6</v>
      </c>
      <c r="B43" s="6">
        <v>32</v>
      </c>
      <c r="C43" s="32">
        <f t="shared" si="13"/>
        <v>6.443396560000002</v>
      </c>
      <c r="D43" s="13">
        <f t="shared" si="12"/>
        <v>23</v>
      </c>
      <c r="E43" s="16">
        <v>23</v>
      </c>
      <c r="F43" s="17">
        <v>0</v>
      </c>
      <c r="G43" s="17">
        <v>0</v>
      </c>
      <c r="H43" s="18">
        <v>0</v>
      </c>
      <c r="I43" s="15">
        <v>0</v>
      </c>
      <c r="J43" s="6">
        <v>0</v>
      </c>
      <c r="K43" s="33">
        <f t="shared" si="14"/>
        <v>0.30000000000000004</v>
      </c>
      <c r="L43" s="5"/>
      <c r="M43" s="5">
        <f t="shared" si="1"/>
        <v>6.443396560000002</v>
      </c>
      <c r="N43" s="5">
        <f t="shared" si="2"/>
        <v>6.958868284800002</v>
      </c>
      <c r="O43" s="5">
        <f t="shared" si="3"/>
        <v>6.958868284800002</v>
      </c>
      <c r="P43" s="5">
        <f t="shared" si="4"/>
        <v>7.474340009600003</v>
      </c>
      <c r="Q43" s="5"/>
      <c r="R43" s="5">
        <f t="shared" si="5"/>
        <v>4742.339868160001</v>
      </c>
      <c r="S43" s="5"/>
      <c r="T43" s="5">
        <v>4285.620360000001</v>
      </c>
      <c r="U43" s="1"/>
      <c r="V43" s="42">
        <f t="shared" si="6"/>
        <v>0.10657022083029309</v>
      </c>
      <c r="X43">
        <f t="shared" si="7"/>
        <v>736</v>
      </c>
    </row>
    <row r="44" spans="1:24" ht="12.75">
      <c r="A44" s="6" t="s">
        <v>8</v>
      </c>
      <c r="B44" s="6">
        <v>32</v>
      </c>
      <c r="C44" s="32">
        <f t="shared" si="13"/>
        <v>6.443396560000002</v>
      </c>
      <c r="D44" s="13">
        <f t="shared" si="12"/>
        <v>19</v>
      </c>
      <c r="E44" s="16">
        <v>7</v>
      </c>
      <c r="F44" s="17">
        <v>5</v>
      </c>
      <c r="G44" s="17">
        <v>4</v>
      </c>
      <c r="H44" s="18">
        <v>3</v>
      </c>
      <c r="I44" s="15">
        <v>0</v>
      </c>
      <c r="J44" s="6">
        <v>0</v>
      </c>
      <c r="K44" s="33">
        <f t="shared" si="14"/>
        <v>0.30000000000000004</v>
      </c>
      <c r="L44" s="5"/>
      <c r="M44" s="5">
        <f t="shared" si="1"/>
        <v>6.443396560000002</v>
      </c>
      <c r="N44" s="5">
        <f t="shared" si="2"/>
        <v>6.958868284800002</v>
      </c>
      <c r="O44" s="5">
        <f t="shared" si="3"/>
        <v>6.958868284800002</v>
      </c>
      <c r="P44" s="5">
        <f t="shared" si="4"/>
        <v>7.474340009600003</v>
      </c>
      <c r="Q44" s="5"/>
      <c r="R44" s="5">
        <f t="shared" si="5"/>
        <v>4165.011536384001</v>
      </c>
      <c r="S44" s="5"/>
      <c r="T44" s="5">
        <v>3707.993268000001</v>
      </c>
      <c r="U44" s="1"/>
      <c r="V44" s="42">
        <f t="shared" si="6"/>
        <v>0.12325218395838797</v>
      </c>
      <c r="X44">
        <f t="shared" si="7"/>
        <v>608</v>
      </c>
    </row>
    <row r="45" spans="1:24" ht="12.75">
      <c r="A45" s="6" t="s">
        <v>14</v>
      </c>
      <c r="B45" s="6">
        <v>35</v>
      </c>
      <c r="C45" s="32">
        <f t="shared" si="13"/>
        <v>6.443396560000002</v>
      </c>
      <c r="D45" s="13">
        <f t="shared" si="12"/>
        <v>21</v>
      </c>
      <c r="E45" s="16">
        <v>0</v>
      </c>
      <c r="F45" s="17">
        <v>20</v>
      </c>
      <c r="G45" s="17">
        <v>0</v>
      </c>
      <c r="H45" s="18">
        <v>1</v>
      </c>
      <c r="I45" s="15">
        <v>1</v>
      </c>
      <c r="J45" s="6">
        <v>0</v>
      </c>
      <c r="K45" s="33">
        <f t="shared" si="14"/>
        <v>0.30000000000000004</v>
      </c>
      <c r="L45" s="5"/>
      <c r="M45" s="5">
        <f t="shared" si="1"/>
        <v>6.743396560000002</v>
      </c>
      <c r="N45" s="5">
        <f t="shared" si="2"/>
        <v>7.258868284800002</v>
      </c>
      <c r="O45" s="5">
        <f t="shared" si="3"/>
        <v>7.258868284800002</v>
      </c>
      <c r="P45" s="5">
        <f t="shared" si="4"/>
        <v>7.774340009600003</v>
      </c>
      <c r="Q45" s="5"/>
      <c r="R45" s="5">
        <f t="shared" si="5"/>
        <v>5573.809699696001</v>
      </c>
      <c r="S45" s="5"/>
      <c r="T45" s="5">
        <v>4989.813349500002</v>
      </c>
      <c r="U45" s="1"/>
      <c r="V45" s="42">
        <f t="shared" si="6"/>
        <v>0.11703771449778133</v>
      </c>
      <c r="X45">
        <f t="shared" si="7"/>
        <v>735</v>
      </c>
    </row>
    <row r="46" spans="1:24" ht="12.75">
      <c r="A46" s="6" t="s">
        <v>17</v>
      </c>
      <c r="B46" s="6">
        <v>35</v>
      </c>
      <c r="C46" s="32">
        <f t="shared" si="13"/>
        <v>6.443396560000002</v>
      </c>
      <c r="D46" s="13">
        <f t="shared" si="12"/>
        <v>18</v>
      </c>
      <c r="E46" s="16">
        <v>5</v>
      </c>
      <c r="F46" s="17">
        <v>8</v>
      </c>
      <c r="G46" s="17">
        <v>4</v>
      </c>
      <c r="H46" s="18">
        <v>1</v>
      </c>
      <c r="I46" s="15">
        <v>1</v>
      </c>
      <c r="J46" s="6">
        <v>0</v>
      </c>
      <c r="K46" s="33">
        <f t="shared" si="14"/>
        <v>0.30000000000000004</v>
      </c>
      <c r="L46" s="5"/>
      <c r="M46" s="5">
        <f t="shared" si="1"/>
        <v>6.743396560000002</v>
      </c>
      <c r="N46" s="5">
        <f t="shared" si="2"/>
        <v>7.258868284800002</v>
      </c>
      <c r="O46" s="5">
        <f t="shared" si="3"/>
        <v>7.258868284800002</v>
      </c>
      <c r="P46" s="5">
        <f t="shared" si="4"/>
        <v>7.774340009600003</v>
      </c>
      <c r="Q46" s="5"/>
      <c r="R46" s="5">
        <f t="shared" si="5"/>
        <v>4689.920977952001</v>
      </c>
      <c r="S46" s="5"/>
      <c r="T46" s="5">
        <v>4217.589762750001</v>
      </c>
      <c r="U46" s="1"/>
      <c r="V46" s="42">
        <f t="shared" si="6"/>
        <v>0.11199079136943492</v>
      </c>
      <c r="X46">
        <f t="shared" si="7"/>
        <v>630</v>
      </c>
    </row>
    <row r="47" spans="1:24" ht="12.75">
      <c r="A47" s="6" t="s">
        <v>6</v>
      </c>
      <c r="B47" s="6">
        <v>36</v>
      </c>
      <c r="C47" s="32">
        <f t="shared" si="13"/>
        <v>6.443396560000002</v>
      </c>
      <c r="D47" s="13">
        <f>+E47+F47+G47+H47</f>
        <v>23</v>
      </c>
      <c r="E47" s="16">
        <v>0</v>
      </c>
      <c r="F47" s="17">
        <v>23</v>
      </c>
      <c r="G47" s="17">
        <v>0</v>
      </c>
      <c r="H47" s="18">
        <v>0</v>
      </c>
      <c r="I47" s="15">
        <v>0</v>
      </c>
      <c r="J47" s="6">
        <v>0</v>
      </c>
      <c r="K47" s="33">
        <f t="shared" si="14"/>
        <v>0.30000000000000004</v>
      </c>
      <c r="L47" s="5"/>
      <c r="M47" s="5">
        <f t="shared" si="1"/>
        <v>6.443396560000002</v>
      </c>
      <c r="N47" s="5">
        <f t="shared" si="2"/>
        <v>6.958868284800002</v>
      </c>
      <c r="O47" s="5">
        <f t="shared" si="3"/>
        <v>6.958868284800002</v>
      </c>
      <c r="P47" s="5">
        <f t="shared" si="4"/>
        <v>7.474340009600003</v>
      </c>
      <c r="Q47" s="5"/>
      <c r="R47" s="5">
        <f t="shared" si="5"/>
        <v>5761.942939814401</v>
      </c>
      <c r="S47" s="5"/>
      <c r="T47" s="5">
        <v>5110.602279300001</v>
      </c>
      <c r="U47" s="1"/>
      <c r="V47" s="42">
        <f t="shared" si="6"/>
        <v>0.12744890424218536</v>
      </c>
      <c r="X47">
        <f t="shared" si="7"/>
        <v>828</v>
      </c>
    </row>
    <row r="48" spans="1:24" ht="12.75">
      <c r="A48" s="6" t="s">
        <v>8</v>
      </c>
      <c r="B48" s="6">
        <v>36</v>
      </c>
      <c r="C48" s="32">
        <f t="shared" si="13"/>
        <v>6.443396560000002</v>
      </c>
      <c r="D48" s="13">
        <f t="shared" si="12"/>
        <v>14</v>
      </c>
      <c r="E48" s="16">
        <v>1</v>
      </c>
      <c r="F48" s="17">
        <v>1</v>
      </c>
      <c r="G48" s="17">
        <v>6</v>
      </c>
      <c r="H48" s="18">
        <v>6</v>
      </c>
      <c r="I48" s="15">
        <v>0</v>
      </c>
      <c r="J48" s="6">
        <v>0</v>
      </c>
      <c r="K48" s="33">
        <f t="shared" si="14"/>
        <v>0.30000000000000004</v>
      </c>
      <c r="L48" s="5"/>
      <c r="M48" s="5">
        <f t="shared" si="1"/>
        <v>6.443396560000002</v>
      </c>
      <c r="N48" s="5">
        <f t="shared" si="2"/>
        <v>6.958868284800002</v>
      </c>
      <c r="O48" s="5">
        <f t="shared" si="3"/>
        <v>6.958868284800002</v>
      </c>
      <c r="P48" s="5">
        <f t="shared" si="4"/>
        <v>7.474340009600003</v>
      </c>
      <c r="Q48" s="5"/>
      <c r="R48" s="5">
        <f t="shared" si="5"/>
        <v>3600.0545260032013</v>
      </c>
      <c r="S48" s="5"/>
      <c r="T48" s="5">
        <v>3173.6882079000006</v>
      </c>
      <c r="U48" s="1"/>
      <c r="V48" s="42">
        <f t="shared" si="6"/>
        <v>0.13434411012458064</v>
      </c>
      <c r="X48">
        <f t="shared" si="7"/>
        <v>504</v>
      </c>
    </row>
    <row r="49" spans="1:24" ht="12.75">
      <c r="A49" s="6" t="s">
        <v>7</v>
      </c>
      <c r="B49" s="6">
        <v>40</v>
      </c>
      <c r="C49" s="32">
        <f aca="true" t="shared" si="15" ref="C49:C54">+$F$4*(1+$F$9)^4</f>
        <v>6.830000353600002</v>
      </c>
      <c r="D49" s="13">
        <f>+E49+F49+G49+H49</f>
        <v>42</v>
      </c>
      <c r="E49" s="16">
        <v>21</v>
      </c>
      <c r="F49" s="17">
        <v>21</v>
      </c>
      <c r="G49" s="17">
        <v>0</v>
      </c>
      <c r="H49" s="18">
        <v>0</v>
      </c>
      <c r="I49" s="15">
        <v>0</v>
      </c>
      <c r="J49" s="6">
        <v>0</v>
      </c>
      <c r="K49" s="33">
        <f aca="true" t="shared" si="16" ref="K49:K54">$F$10*4</f>
        <v>0.4</v>
      </c>
      <c r="L49" s="5"/>
      <c r="M49" s="5">
        <f t="shared" si="1"/>
        <v>6.830000353600002</v>
      </c>
      <c r="N49" s="5">
        <f t="shared" si="2"/>
        <v>7.376400381888002</v>
      </c>
      <c r="O49" s="5">
        <f t="shared" si="3"/>
        <v>7.376400381888002</v>
      </c>
      <c r="P49" s="5">
        <f t="shared" si="4"/>
        <v>7.922800410176003</v>
      </c>
      <c r="Q49" s="5"/>
      <c r="R49" s="5">
        <f t="shared" si="5"/>
        <v>11933.376617809921</v>
      </c>
      <c r="S49" s="5"/>
      <c r="T49" s="5">
        <v>10579.659435449998</v>
      </c>
      <c r="U49" s="1"/>
      <c r="V49" s="42">
        <f t="shared" si="6"/>
        <v>0.127954703137601</v>
      </c>
      <c r="X49">
        <f t="shared" si="7"/>
        <v>1680</v>
      </c>
    </row>
    <row r="50" spans="1:24" ht="12.75">
      <c r="A50" s="6" t="s">
        <v>17</v>
      </c>
      <c r="B50" s="6">
        <v>40</v>
      </c>
      <c r="C50" s="32">
        <f t="shared" si="15"/>
        <v>6.830000353600002</v>
      </c>
      <c r="D50" s="13">
        <f t="shared" si="12"/>
        <v>17</v>
      </c>
      <c r="E50" s="16">
        <v>5</v>
      </c>
      <c r="F50" s="17">
        <v>9</v>
      </c>
      <c r="G50" s="17">
        <v>3</v>
      </c>
      <c r="H50" s="18">
        <v>0</v>
      </c>
      <c r="I50" s="15">
        <v>1</v>
      </c>
      <c r="J50" s="6">
        <v>0</v>
      </c>
      <c r="K50" s="33">
        <f t="shared" si="16"/>
        <v>0.4</v>
      </c>
      <c r="L50" s="5"/>
      <c r="M50" s="5">
        <f t="shared" si="1"/>
        <v>7.230000353600002</v>
      </c>
      <c r="N50" s="5">
        <f t="shared" si="2"/>
        <v>7.776400381888003</v>
      </c>
      <c r="O50" s="5">
        <f t="shared" si="3"/>
        <v>7.776400381888003</v>
      </c>
      <c r="P50" s="5">
        <f t="shared" si="4"/>
        <v>8.322800410176002</v>
      </c>
      <c r="Q50" s="5"/>
      <c r="R50" s="5">
        <f t="shared" si="5"/>
        <v>5450.672254026242</v>
      </c>
      <c r="S50" s="5"/>
      <c r="T50" s="5">
        <v>4877.600674900001</v>
      </c>
      <c r="U50" s="1"/>
      <c r="V50" s="42">
        <f t="shared" si="6"/>
        <v>0.11749046658847076</v>
      </c>
      <c r="X50">
        <f t="shared" si="7"/>
        <v>680</v>
      </c>
    </row>
    <row r="51" spans="1:24" ht="12.75">
      <c r="A51" s="6" t="s">
        <v>14</v>
      </c>
      <c r="B51" s="6">
        <v>45</v>
      </c>
      <c r="C51" s="32">
        <f t="shared" si="15"/>
        <v>6.830000353600002</v>
      </c>
      <c r="D51" s="13">
        <f t="shared" si="12"/>
        <v>18</v>
      </c>
      <c r="E51" s="16">
        <v>0</v>
      </c>
      <c r="F51" s="17">
        <v>18</v>
      </c>
      <c r="G51" s="17">
        <v>0</v>
      </c>
      <c r="H51" s="18">
        <v>0</v>
      </c>
      <c r="I51" s="15">
        <v>1</v>
      </c>
      <c r="J51" s="6">
        <v>0</v>
      </c>
      <c r="K51" s="33">
        <f t="shared" si="16"/>
        <v>0.4</v>
      </c>
      <c r="L51" s="5"/>
      <c r="M51" s="5">
        <f t="shared" si="1"/>
        <v>7.230000353600002</v>
      </c>
      <c r="N51" s="5">
        <f t="shared" si="2"/>
        <v>7.776400381888003</v>
      </c>
      <c r="O51" s="5">
        <f t="shared" si="3"/>
        <v>7.776400381888003</v>
      </c>
      <c r="P51" s="5">
        <f t="shared" si="4"/>
        <v>8.322800410176002</v>
      </c>
      <c r="Q51" s="5"/>
      <c r="R51" s="5">
        <f t="shared" si="5"/>
        <v>6622.884309329283</v>
      </c>
      <c r="S51" s="5"/>
      <c r="T51" s="5">
        <v>5897.477341237501</v>
      </c>
      <c r="U51" s="1"/>
      <c r="V51" s="42">
        <f t="shared" si="6"/>
        <v>0.1230029258475397</v>
      </c>
      <c r="X51">
        <f t="shared" si="7"/>
        <v>810</v>
      </c>
    </row>
    <row r="52" spans="1:24" ht="12.75">
      <c r="A52" s="6" t="s">
        <v>16</v>
      </c>
      <c r="B52" s="6">
        <v>45</v>
      </c>
      <c r="C52" s="32">
        <f t="shared" si="15"/>
        <v>6.830000353600002</v>
      </c>
      <c r="D52" s="13">
        <f t="shared" si="12"/>
        <v>20</v>
      </c>
      <c r="E52" s="16">
        <v>0</v>
      </c>
      <c r="F52" s="17">
        <v>18</v>
      </c>
      <c r="G52" s="17">
        <v>0</v>
      </c>
      <c r="H52" s="18">
        <v>2</v>
      </c>
      <c r="I52" s="15">
        <v>1</v>
      </c>
      <c r="J52" s="6">
        <v>0</v>
      </c>
      <c r="K52" s="33">
        <f t="shared" si="16"/>
        <v>0.4</v>
      </c>
      <c r="L52" s="5"/>
      <c r="M52" s="5">
        <f t="shared" si="1"/>
        <v>7.230000353600002</v>
      </c>
      <c r="N52" s="5">
        <f t="shared" si="2"/>
        <v>7.776400381888003</v>
      </c>
      <c r="O52" s="5">
        <f t="shared" si="3"/>
        <v>7.776400381888003</v>
      </c>
      <c r="P52" s="5">
        <f t="shared" si="4"/>
        <v>8.322800410176002</v>
      </c>
      <c r="Q52" s="5"/>
      <c r="R52" s="5">
        <f t="shared" si="5"/>
        <v>7407.936346245123</v>
      </c>
      <c r="S52" s="5"/>
      <c r="T52" s="5">
        <v>6585.7681821375</v>
      </c>
      <c r="U52" s="1"/>
      <c r="V52" s="42">
        <f t="shared" si="6"/>
        <v>0.1248401312298814</v>
      </c>
      <c r="X52">
        <f t="shared" si="7"/>
        <v>900</v>
      </c>
    </row>
    <row r="53" spans="1:24" ht="12.75">
      <c r="A53" s="6" t="s">
        <v>13</v>
      </c>
      <c r="B53" s="6">
        <v>46</v>
      </c>
      <c r="C53" s="32">
        <f t="shared" si="15"/>
        <v>6.830000353600002</v>
      </c>
      <c r="D53" s="13">
        <f t="shared" si="12"/>
        <v>2</v>
      </c>
      <c r="E53" s="16">
        <v>0</v>
      </c>
      <c r="F53" s="17">
        <v>0</v>
      </c>
      <c r="G53" s="17">
        <v>2</v>
      </c>
      <c r="H53" s="18">
        <v>0</v>
      </c>
      <c r="I53" s="15">
        <v>1</v>
      </c>
      <c r="J53" s="6">
        <v>0</v>
      </c>
      <c r="K53" s="33">
        <f t="shared" si="16"/>
        <v>0.4</v>
      </c>
      <c r="L53" s="5"/>
      <c r="M53" s="5">
        <f t="shared" si="1"/>
        <v>7.230000353600002</v>
      </c>
      <c r="N53" s="5">
        <f t="shared" si="2"/>
        <v>7.776400381888003</v>
      </c>
      <c r="O53" s="5">
        <f t="shared" si="3"/>
        <v>7.776400381888003</v>
      </c>
      <c r="P53" s="5">
        <f t="shared" si="4"/>
        <v>8.322800410176002</v>
      </c>
      <c r="Q53" s="5"/>
      <c r="R53" s="5">
        <f t="shared" si="5"/>
        <v>752.2288351336962</v>
      </c>
      <c r="S53" s="5"/>
      <c r="T53" s="5">
        <v>669.836932585</v>
      </c>
      <c r="U53" s="1"/>
      <c r="V53" s="42">
        <f t="shared" si="6"/>
        <v>0.12300292584753966</v>
      </c>
      <c r="X53">
        <f t="shared" si="7"/>
        <v>92</v>
      </c>
    </row>
    <row r="54" spans="1:24" ht="12.75">
      <c r="A54" s="6" t="s">
        <v>10</v>
      </c>
      <c r="B54" s="6">
        <v>48</v>
      </c>
      <c r="C54" s="32">
        <f t="shared" si="15"/>
        <v>6.830000353600002</v>
      </c>
      <c r="D54" s="13">
        <f t="shared" si="12"/>
        <v>22</v>
      </c>
      <c r="E54" s="16">
        <v>22</v>
      </c>
      <c r="F54" s="17">
        <v>0</v>
      </c>
      <c r="G54" s="17">
        <v>0</v>
      </c>
      <c r="H54" s="18">
        <v>0</v>
      </c>
      <c r="I54" s="15">
        <v>0</v>
      </c>
      <c r="J54" s="6">
        <v>0</v>
      </c>
      <c r="K54" s="33">
        <f t="shared" si="16"/>
        <v>0.4</v>
      </c>
      <c r="L54" s="5"/>
      <c r="M54" s="5">
        <f t="shared" si="1"/>
        <v>6.830000353600002</v>
      </c>
      <c r="N54" s="5">
        <f t="shared" si="2"/>
        <v>7.376400381888002</v>
      </c>
      <c r="O54" s="5">
        <f t="shared" si="3"/>
        <v>7.376400381888002</v>
      </c>
      <c r="P54" s="5">
        <f t="shared" si="4"/>
        <v>7.922800410176003</v>
      </c>
      <c r="Q54" s="5"/>
      <c r="R54" s="5">
        <f t="shared" si="5"/>
        <v>7212.480373401602</v>
      </c>
      <c r="S54" s="5"/>
      <c r="T54" s="5">
        <v>6456.380238</v>
      </c>
      <c r="U54" s="1"/>
      <c r="V54" s="42">
        <f t="shared" si="6"/>
        <v>0.117108984838201</v>
      </c>
      <c r="X54">
        <f t="shared" si="7"/>
        <v>1056</v>
      </c>
    </row>
    <row r="55" spans="1:24" ht="12.75">
      <c r="A55" s="6" t="s">
        <v>13</v>
      </c>
      <c r="B55" s="6">
        <v>50</v>
      </c>
      <c r="C55" s="32">
        <f>+$F$4*(1+$F$9)^5</f>
        <v>7.239800374816003</v>
      </c>
      <c r="D55" s="13">
        <f t="shared" si="12"/>
        <v>19</v>
      </c>
      <c r="E55" s="16">
        <v>0</v>
      </c>
      <c r="F55" s="17">
        <v>0</v>
      </c>
      <c r="G55" s="17">
        <v>19</v>
      </c>
      <c r="H55" s="18">
        <v>0</v>
      </c>
      <c r="I55" s="15">
        <v>1</v>
      </c>
      <c r="J55" s="6">
        <v>0</v>
      </c>
      <c r="K55" s="33">
        <f>$F$10*5</f>
        <v>0.5</v>
      </c>
      <c r="L55" s="5"/>
      <c r="M55" s="5">
        <f t="shared" si="1"/>
        <v>7.739800374816003</v>
      </c>
      <c r="N55" s="5">
        <f t="shared" si="2"/>
        <v>8.318984404801284</v>
      </c>
      <c r="O55" s="5">
        <f t="shared" si="3"/>
        <v>8.318984404801284</v>
      </c>
      <c r="P55" s="5">
        <f t="shared" si="4"/>
        <v>8.898168434786564</v>
      </c>
      <c r="Q55" s="5"/>
      <c r="R55" s="5">
        <f t="shared" si="5"/>
        <v>8378.03518456122</v>
      </c>
      <c r="S55" s="5"/>
      <c r="T55" s="5">
        <v>7414.634133190626</v>
      </c>
      <c r="U55" s="1"/>
      <c r="V55" s="42">
        <f t="shared" si="6"/>
        <v>0.12993237886924958</v>
      </c>
      <c r="X55">
        <f t="shared" si="7"/>
        <v>950</v>
      </c>
    </row>
    <row r="56" spans="1:24" ht="12.75">
      <c r="A56" s="6" t="s">
        <v>14</v>
      </c>
      <c r="B56" s="6">
        <v>50</v>
      </c>
      <c r="C56" s="32">
        <f>+$F$4*(1+$F$9)^5</f>
        <v>7.239800374816003</v>
      </c>
      <c r="D56" s="13">
        <f t="shared" si="12"/>
        <v>1</v>
      </c>
      <c r="E56" s="16">
        <v>0</v>
      </c>
      <c r="F56" s="17">
        <v>1</v>
      </c>
      <c r="G56" s="17">
        <v>0</v>
      </c>
      <c r="H56" s="18">
        <v>0</v>
      </c>
      <c r="I56" s="15">
        <v>1</v>
      </c>
      <c r="J56" s="6">
        <v>1</v>
      </c>
      <c r="K56" s="33">
        <f>$F$10*5</f>
        <v>0.5</v>
      </c>
      <c r="L56" s="5"/>
      <c r="M56" s="5">
        <f t="shared" si="1"/>
        <v>9.187760449779203</v>
      </c>
      <c r="N56" s="5">
        <f t="shared" si="2"/>
        <v>9.766944479764485</v>
      </c>
      <c r="O56" s="5">
        <f t="shared" si="3"/>
        <v>9.766944479764485</v>
      </c>
      <c r="P56" s="5">
        <f t="shared" si="4"/>
        <v>10.346128509749764</v>
      </c>
      <c r="Q56" s="5"/>
      <c r="R56" s="5">
        <f t="shared" si="5"/>
        <v>513.3472239882242</v>
      </c>
      <c r="S56" s="5"/>
      <c r="T56" s="5">
        <v>454.44086434062507</v>
      </c>
      <c r="U56" s="1"/>
      <c r="V56" s="42">
        <f t="shared" si="6"/>
        <v>0.12962381746428067</v>
      </c>
      <c r="X56">
        <f t="shared" si="7"/>
        <v>50</v>
      </c>
    </row>
    <row r="57" spans="1:24" ht="12.75">
      <c r="A57" s="6" t="s">
        <v>11</v>
      </c>
      <c r="B57" s="6">
        <v>52</v>
      </c>
      <c r="C57" s="32">
        <f>+$F$4*(1+$F$9)^5</f>
        <v>7.239800374816003</v>
      </c>
      <c r="D57" s="13">
        <f t="shared" si="12"/>
        <v>20</v>
      </c>
      <c r="E57" s="16">
        <v>20</v>
      </c>
      <c r="F57" s="17">
        <v>0</v>
      </c>
      <c r="G57" s="17">
        <v>0</v>
      </c>
      <c r="H57" s="18">
        <v>0</v>
      </c>
      <c r="I57" s="15">
        <v>0</v>
      </c>
      <c r="J57" s="6">
        <v>0</v>
      </c>
      <c r="K57" s="33">
        <f>$F$10*5</f>
        <v>0.5</v>
      </c>
      <c r="L57" s="5"/>
      <c r="M57" s="5">
        <f t="shared" si="1"/>
        <v>7.239800374816003</v>
      </c>
      <c r="N57" s="5">
        <f t="shared" si="2"/>
        <v>7.8189844048012835</v>
      </c>
      <c r="O57" s="5">
        <f t="shared" si="3"/>
        <v>7.8189844048012835</v>
      </c>
      <c r="P57" s="5">
        <f t="shared" si="4"/>
        <v>8.398168434786564</v>
      </c>
      <c r="Q57" s="5"/>
      <c r="R57" s="5">
        <f t="shared" si="5"/>
        <v>7529.392389808642</v>
      </c>
      <c r="S57" s="5"/>
      <c r="T57" s="5">
        <v>6676.48410975</v>
      </c>
      <c r="U57" s="1"/>
      <c r="V57" s="42">
        <f t="shared" si="6"/>
        <v>0.12774811802713615</v>
      </c>
      <c r="X57">
        <f t="shared" si="7"/>
        <v>1040</v>
      </c>
    </row>
    <row r="58" spans="1:24" ht="12.75">
      <c r="A58" s="6" t="s">
        <v>13</v>
      </c>
      <c r="B58" s="6">
        <v>52</v>
      </c>
      <c r="C58" s="32">
        <f>+$F$4*(1+$F$9)^5</f>
        <v>7.239800374816003</v>
      </c>
      <c r="D58" s="13">
        <f t="shared" si="12"/>
        <v>21</v>
      </c>
      <c r="E58" s="16">
        <v>0</v>
      </c>
      <c r="F58" s="17">
        <v>20</v>
      </c>
      <c r="G58" s="17">
        <v>0</v>
      </c>
      <c r="H58" s="18">
        <v>1</v>
      </c>
      <c r="I58" s="15">
        <v>1</v>
      </c>
      <c r="J58" s="6">
        <v>0</v>
      </c>
      <c r="K58" s="33">
        <f>$F$10*5</f>
        <v>0.5</v>
      </c>
      <c r="L58" s="5"/>
      <c r="M58" s="5">
        <f t="shared" si="1"/>
        <v>7.739800374816003</v>
      </c>
      <c r="N58" s="5">
        <f t="shared" si="2"/>
        <v>8.318984404801284</v>
      </c>
      <c r="O58" s="5">
        <f t="shared" si="3"/>
        <v>8.318984404801284</v>
      </c>
      <c r="P58" s="5">
        <f t="shared" si="4"/>
        <v>8.898168434786564</v>
      </c>
      <c r="Q58" s="5"/>
      <c r="R58" s="5">
        <f t="shared" si="5"/>
        <v>9660.448539602237</v>
      </c>
      <c r="S58" s="5"/>
      <c r="T58" s="5">
        <v>8542.956266481</v>
      </c>
      <c r="U58" s="1"/>
      <c r="V58" s="42">
        <f t="shared" si="6"/>
        <v>0.13080861451975487</v>
      </c>
      <c r="X58">
        <f t="shared" si="7"/>
        <v>1092</v>
      </c>
    </row>
    <row r="59" spans="1:24" ht="12.75">
      <c r="A59" s="6" t="s">
        <v>8</v>
      </c>
      <c r="B59" s="6">
        <v>60</v>
      </c>
      <c r="C59" s="32">
        <f>+$F$4*(1+$F$9)^6</f>
        <v>7.674188397304963</v>
      </c>
      <c r="D59" s="13">
        <f>+E59+F59+G59+H59</f>
        <v>3</v>
      </c>
      <c r="E59" s="16">
        <v>3</v>
      </c>
      <c r="F59" s="17">
        <v>0</v>
      </c>
      <c r="G59" s="17">
        <v>0</v>
      </c>
      <c r="H59" s="18">
        <v>0</v>
      </c>
      <c r="I59" s="15">
        <v>0</v>
      </c>
      <c r="J59" s="6">
        <v>0</v>
      </c>
      <c r="K59" s="33">
        <f>$F$10*6</f>
        <v>0.6000000000000001</v>
      </c>
      <c r="L59" s="5"/>
      <c r="M59" s="5">
        <f t="shared" si="1"/>
        <v>7.674188397304963</v>
      </c>
      <c r="N59" s="5">
        <f t="shared" si="2"/>
        <v>8.28812346908936</v>
      </c>
      <c r="O59" s="5">
        <f t="shared" si="3"/>
        <v>8.28812346908936</v>
      </c>
      <c r="P59" s="5">
        <f t="shared" si="4"/>
        <v>8.902058540873758</v>
      </c>
      <c r="Q59" s="5"/>
      <c r="R59" s="5">
        <f t="shared" si="5"/>
        <v>1381.3539115148933</v>
      </c>
      <c r="S59" s="5"/>
      <c r="T59" s="5">
        <v>1213.322593021875</v>
      </c>
      <c r="U59" s="1"/>
      <c r="V59" s="42">
        <f t="shared" si="6"/>
        <v>0.13848857629406133</v>
      </c>
      <c r="X59">
        <f t="shared" si="7"/>
        <v>180</v>
      </c>
    </row>
    <row r="60" spans="1:24" ht="12.75">
      <c r="A60" s="6" t="s">
        <v>17</v>
      </c>
      <c r="B60" s="6">
        <v>60</v>
      </c>
      <c r="C60" s="32">
        <f>+$F$4*(1+$F$9)^6</f>
        <v>7.674188397304963</v>
      </c>
      <c r="D60" s="13">
        <f t="shared" si="12"/>
        <v>13</v>
      </c>
      <c r="E60" s="16">
        <v>0</v>
      </c>
      <c r="F60" s="17">
        <v>9</v>
      </c>
      <c r="G60" s="17">
        <v>0</v>
      </c>
      <c r="H60" s="18">
        <v>4</v>
      </c>
      <c r="I60" s="20">
        <v>1</v>
      </c>
      <c r="J60" s="6">
        <v>0</v>
      </c>
      <c r="K60" s="33">
        <f>$F$10*6</f>
        <v>0.6000000000000001</v>
      </c>
      <c r="L60" s="19"/>
      <c r="M60" s="5">
        <f t="shared" si="1"/>
        <v>8.274188397304963</v>
      </c>
      <c r="N60" s="5">
        <f t="shared" si="2"/>
        <v>8.88812346908936</v>
      </c>
      <c r="O60" s="5">
        <f t="shared" si="3"/>
        <v>8.88812346908936</v>
      </c>
      <c r="P60" s="5">
        <f t="shared" si="4"/>
        <v>9.502058540873758</v>
      </c>
      <c r="Q60" s="5"/>
      <c r="R60" s="5">
        <f t="shared" si="5"/>
        <v>7548.080723117956</v>
      </c>
      <c r="S60" s="5"/>
      <c r="T60" s="5">
        <v>6606.260918055563</v>
      </c>
      <c r="U60" s="1"/>
      <c r="V60" s="42">
        <f t="shared" si="6"/>
        <v>0.1425647301468682</v>
      </c>
      <c r="X60">
        <f t="shared" si="7"/>
        <v>780</v>
      </c>
    </row>
    <row r="61" spans="1:24" ht="12.75">
      <c r="A61" s="6" t="s">
        <v>13</v>
      </c>
      <c r="B61" s="6">
        <v>65</v>
      </c>
      <c r="C61" s="32">
        <f>+$F$4*(1+$F$9)^6</f>
        <v>7.674188397304963</v>
      </c>
      <c r="D61" s="13">
        <f>+E61+F61+G61+H61</f>
        <v>6</v>
      </c>
      <c r="E61" s="16">
        <v>2</v>
      </c>
      <c r="F61" s="17">
        <v>0</v>
      </c>
      <c r="G61" s="17">
        <v>4</v>
      </c>
      <c r="H61" s="18">
        <v>0</v>
      </c>
      <c r="I61" s="20">
        <v>1</v>
      </c>
      <c r="J61" s="6">
        <v>0</v>
      </c>
      <c r="K61" s="33">
        <f>$F$10*6</f>
        <v>0.6000000000000001</v>
      </c>
      <c r="L61" s="19"/>
      <c r="M61" s="5">
        <f t="shared" si="1"/>
        <v>8.274188397304963</v>
      </c>
      <c r="N61" s="5">
        <f t="shared" si="2"/>
        <v>8.88812346908936</v>
      </c>
      <c r="O61" s="5">
        <f t="shared" si="3"/>
        <v>8.88812346908936</v>
      </c>
      <c r="P61" s="5">
        <f t="shared" si="4"/>
        <v>9.502058540873758</v>
      </c>
      <c r="Q61" s="5"/>
      <c r="R61" s="5">
        <f t="shared" si="5"/>
        <v>3620.5565936128787</v>
      </c>
      <c r="S61" s="5"/>
      <c r="T61" s="5">
        <v>3202.0202429426254</v>
      </c>
      <c r="U61" s="1"/>
      <c r="V61" s="42">
        <f t="shared" si="6"/>
        <v>0.13071008891737126</v>
      </c>
      <c r="X61">
        <f t="shared" si="7"/>
        <v>390</v>
      </c>
    </row>
    <row r="62" spans="1:24" ht="12.75">
      <c r="A62" s="6" t="s">
        <v>17</v>
      </c>
      <c r="B62" s="6">
        <v>65</v>
      </c>
      <c r="C62" s="32">
        <f>+$F$4*(1+$F$9)^6</f>
        <v>7.674188397304963</v>
      </c>
      <c r="D62" s="13">
        <f>+E62+F62+G62+H62</f>
        <v>1</v>
      </c>
      <c r="E62" s="16">
        <v>1</v>
      </c>
      <c r="F62" s="17">
        <v>0</v>
      </c>
      <c r="G62" s="17">
        <v>0</v>
      </c>
      <c r="H62" s="18">
        <v>0</v>
      </c>
      <c r="I62" s="20">
        <v>1</v>
      </c>
      <c r="J62" s="6">
        <v>0</v>
      </c>
      <c r="K62" s="33">
        <f>$F$10*6</f>
        <v>0.6000000000000001</v>
      </c>
      <c r="L62" s="19"/>
      <c r="M62" s="5">
        <f t="shared" si="1"/>
        <v>8.274188397304963</v>
      </c>
      <c r="N62" s="5">
        <f t="shared" si="2"/>
        <v>8.88812346908936</v>
      </c>
      <c r="O62" s="5">
        <f t="shared" si="3"/>
        <v>8.88812346908936</v>
      </c>
      <c r="P62" s="5">
        <f t="shared" si="4"/>
        <v>9.502058540873758</v>
      </c>
      <c r="Q62" s="5"/>
      <c r="R62" s="5">
        <f t="shared" si="5"/>
        <v>576.8222458248226</v>
      </c>
      <c r="S62" s="5"/>
      <c r="T62" s="5">
        <v>516.1442697023438</v>
      </c>
      <c r="U62" s="1"/>
      <c r="V62" s="42">
        <f t="shared" si="6"/>
        <v>0.1175601080633354</v>
      </c>
      <c r="X62">
        <f t="shared" si="7"/>
        <v>65</v>
      </c>
    </row>
    <row r="63" spans="1:24" ht="12.75">
      <c r="A63" s="6" t="s">
        <v>17</v>
      </c>
      <c r="B63" s="6">
        <v>70</v>
      </c>
      <c r="C63" s="32">
        <f>+$F$4*(1+$F$9)^7</f>
        <v>8.134639701143263</v>
      </c>
      <c r="D63" s="13">
        <f t="shared" si="12"/>
        <v>1</v>
      </c>
      <c r="E63" s="16">
        <v>1</v>
      </c>
      <c r="F63" s="17">
        <v>0</v>
      </c>
      <c r="G63" s="17">
        <v>0</v>
      </c>
      <c r="H63" s="18">
        <v>0</v>
      </c>
      <c r="I63" s="20">
        <v>1</v>
      </c>
      <c r="J63" s="6">
        <v>0</v>
      </c>
      <c r="K63" s="33">
        <f>$F$10*7</f>
        <v>0.7000000000000001</v>
      </c>
      <c r="L63" s="19"/>
      <c r="M63" s="5">
        <f t="shared" si="1"/>
        <v>8.834639701143262</v>
      </c>
      <c r="N63" s="5">
        <f t="shared" si="2"/>
        <v>9.485410877234724</v>
      </c>
      <c r="O63" s="5">
        <f t="shared" si="3"/>
        <v>9.485410877234724</v>
      </c>
      <c r="P63" s="5">
        <f t="shared" si="4"/>
        <v>10.136182053326184</v>
      </c>
      <c r="Q63" s="5"/>
      <c r="R63" s="5">
        <f t="shared" si="5"/>
        <v>667.4247790800283</v>
      </c>
      <c r="S63" s="5"/>
      <c r="T63" s="5">
        <v>593.4400588172657</v>
      </c>
      <c r="U63" s="1"/>
      <c r="V63" s="42">
        <f t="shared" si="6"/>
        <v>0.12467092364848976</v>
      </c>
      <c r="X63">
        <f t="shared" si="7"/>
        <v>70</v>
      </c>
    </row>
    <row r="64" spans="1:24" ht="12.75">
      <c r="A64" s="7" t="s">
        <v>8</v>
      </c>
      <c r="B64" s="7">
        <v>84</v>
      </c>
      <c r="C64" s="41">
        <f>+$F$4*(1+$F$9)^8</f>
        <v>8.622718083211858</v>
      </c>
      <c r="D64" s="14">
        <f t="shared" si="12"/>
        <v>3</v>
      </c>
      <c r="E64" s="23">
        <v>2</v>
      </c>
      <c r="F64" s="24">
        <v>0</v>
      </c>
      <c r="G64" s="24">
        <v>1</v>
      </c>
      <c r="H64" s="25">
        <v>0</v>
      </c>
      <c r="I64" s="26">
        <v>0</v>
      </c>
      <c r="J64" s="7">
        <v>0</v>
      </c>
      <c r="K64" s="45">
        <f>$F$10*8</f>
        <v>0.8</v>
      </c>
      <c r="L64" s="19"/>
      <c r="M64" s="8">
        <f t="shared" si="1"/>
        <v>8.622718083211858</v>
      </c>
      <c r="N64" s="8">
        <f t="shared" si="2"/>
        <v>9.312535529868807</v>
      </c>
      <c r="O64" s="8">
        <f t="shared" si="3"/>
        <v>9.312535529868807</v>
      </c>
      <c r="P64" s="8">
        <f t="shared" si="4"/>
        <v>10.002352976525756</v>
      </c>
      <c r="Q64" s="5"/>
      <c r="R64" s="8">
        <f t="shared" si="5"/>
        <v>2230.869622488572</v>
      </c>
      <c r="S64" s="5"/>
      <c r="T64" s="8">
        <v>1910.2186907758496</v>
      </c>
      <c r="U64" s="1"/>
      <c r="V64" s="43">
        <f t="shared" si="6"/>
        <v>0.16786084926354045</v>
      </c>
      <c r="X64">
        <f t="shared" si="7"/>
        <v>252</v>
      </c>
    </row>
    <row r="65" spans="1:2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9"/>
      <c r="L65" s="10"/>
      <c r="M65" s="10"/>
      <c r="N65" s="10"/>
      <c r="O65" s="10"/>
      <c r="P65" s="10"/>
      <c r="Q65" s="10"/>
      <c r="R65" s="10"/>
      <c r="S65" s="10"/>
      <c r="T65" s="10"/>
      <c r="U65" s="1"/>
      <c r="V65" s="1"/>
    </row>
    <row r="66" spans="1:25" ht="15">
      <c r="A66" s="3" t="s">
        <v>0</v>
      </c>
      <c r="B66" s="2"/>
      <c r="C66" s="2"/>
      <c r="D66" s="11">
        <f>+SUM(D13:D64)</f>
        <v>985</v>
      </c>
      <c r="E66" s="3" t="s">
        <v>23</v>
      </c>
      <c r="F66" s="2"/>
      <c r="G66" s="2"/>
      <c r="H66" s="2"/>
      <c r="I66" s="2"/>
      <c r="J66" s="2"/>
      <c r="L66" s="10"/>
      <c r="M66" s="12" t="s">
        <v>19</v>
      </c>
      <c r="O66" s="2"/>
      <c r="P66" s="10"/>
      <c r="Q66" s="10"/>
      <c r="R66" s="34">
        <f>+SUM(R13:R64)</f>
        <v>224117.98130865573</v>
      </c>
      <c r="S66" s="35"/>
      <c r="T66" s="34">
        <f>+SUM(T13:T64)</f>
        <v>201186.03502731278</v>
      </c>
      <c r="U66" s="1"/>
      <c r="V66" s="1"/>
      <c r="Y66" s="47" t="s">
        <v>39</v>
      </c>
    </row>
    <row r="67" spans="1:22" ht="15">
      <c r="A67" s="2"/>
      <c r="B67" s="2"/>
      <c r="C67" s="2"/>
      <c r="D67" s="2"/>
      <c r="E67" s="3"/>
      <c r="F67" s="2"/>
      <c r="G67" s="2"/>
      <c r="H67" s="2"/>
      <c r="I67" s="2"/>
      <c r="J67" s="2"/>
      <c r="L67" s="10"/>
      <c r="M67" s="12"/>
      <c r="O67" s="2"/>
      <c r="P67" s="10"/>
      <c r="Q67" s="10"/>
      <c r="R67" s="35"/>
      <c r="S67" s="35"/>
      <c r="T67" s="35"/>
      <c r="U67" s="1"/>
      <c r="V67" s="1"/>
    </row>
    <row r="68" spans="1:22" ht="15">
      <c r="A68" s="2"/>
      <c r="B68" s="2"/>
      <c r="C68" s="2"/>
      <c r="D68" s="46">
        <f>+SUM($X$13:$X$64)</f>
        <v>31161</v>
      </c>
      <c r="E68" s="3" t="s">
        <v>43</v>
      </c>
      <c r="F68" s="2"/>
      <c r="G68" s="2"/>
      <c r="H68" s="2"/>
      <c r="I68" s="2"/>
      <c r="J68" s="2"/>
      <c r="L68" s="10"/>
      <c r="M68" s="12" t="s">
        <v>20</v>
      </c>
      <c r="O68" s="2"/>
      <c r="P68" s="10"/>
      <c r="Q68" s="10"/>
      <c r="R68" s="34">
        <f>+R66*12</f>
        <v>2689415.775703869</v>
      </c>
      <c r="S68" s="36"/>
      <c r="T68" s="34">
        <f>+T66*12</f>
        <v>2414232.4203277533</v>
      </c>
      <c r="U68" s="1"/>
      <c r="V68" s="1"/>
    </row>
    <row r="69" spans="1:22" ht="13.5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9"/>
      <c r="L69" s="10"/>
      <c r="M69" s="10"/>
      <c r="N69" s="10"/>
      <c r="O69" s="10"/>
      <c r="P69" s="10"/>
      <c r="Q69" s="10"/>
      <c r="R69" s="35"/>
      <c r="S69" s="35"/>
      <c r="T69" s="35"/>
      <c r="U69" s="1"/>
      <c r="V69" s="1"/>
    </row>
    <row r="70" spans="1:22" ht="15.75" thickBot="1">
      <c r="A70" s="2"/>
      <c r="B70" s="2"/>
      <c r="C70" s="2"/>
      <c r="D70" s="2"/>
      <c r="E70" s="2"/>
      <c r="F70" s="12" t="s">
        <v>33</v>
      </c>
      <c r="I70" s="2"/>
      <c r="L70" s="10"/>
      <c r="N70" s="10"/>
      <c r="O70" s="10"/>
      <c r="P70" s="10"/>
      <c r="Q70" s="10"/>
      <c r="R70" s="37">
        <f>+R68-T68</f>
        <v>275183.35537611553</v>
      </c>
      <c r="S70" s="35"/>
      <c r="T70" s="35"/>
      <c r="U70" s="1"/>
      <c r="V70" s="1"/>
    </row>
    <row r="71" spans="1:18" ht="15.75" thickBot="1">
      <c r="A71" t="s">
        <v>0</v>
      </c>
      <c r="B71" t="s">
        <v>0</v>
      </c>
      <c r="E71" t="s">
        <v>0</v>
      </c>
      <c r="F71" s="12" t="s">
        <v>44</v>
      </c>
      <c r="H71" s="3"/>
      <c r="R71" s="37">
        <f>R68*0.97-T68</f>
        <v>194500.8821049994</v>
      </c>
    </row>
    <row r="72" spans="6:8" ht="15.75" thickBot="1">
      <c r="F72" s="12"/>
      <c r="H72" s="3"/>
    </row>
    <row r="73" spans="1:18" ht="15.75" thickBot="1">
      <c r="A73" t="s">
        <v>0</v>
      </c>
      <c r="E73" t="s">
        <v>0</v>
      </c>
      <c r="I73" s="12" t="s">
        <v>41</v>
      </c>
      <c r="R73" s="38">
        <f>$T$66/$D$68</f>
        <v>6.45634077941378</v>
      </c>
    </row>
    <row r="74" spans="1:18" ht="15.75" thickBot="1">
      <c r="A74" t="s">
        <v>0</v>
      </c>
      <c r="I74" s="3" t="s">
        <v>40</v>
      </c>
      <c r="R74" s="38">
        <f>$R$66/$D$68</f>
        <v>7.192258955381911</v>
      </c>
    </row>
    <row r="99" ht="12">
      <c r="D99" s="31"/>
    </row>
  </sheetData>
  <printOptions horizontalCentered="1" verticalCentered="1"/>
  <pageMargins left="0.5" right="0.5" top="0.25" bottom="0.25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 Kamen</cp:lastModifiedBy>
  <cp:lastPrinted>2003-01-09T00:43:47Z</cp:lastPrinted>
  <dcterms:created xsi:type="dcterms:W3CDTF">1996-10-14T23:33:28Z</dcterms:created>
  <dcterms:modified xsi:type="dcterms:W3CDTF">2004-04-09T14:26:52Z</dcterms:modified>
  <cp:category/>
  <cp:version/>
  <cp:contentType/>
  <cp:contentStatus/>
</cp:coreProperties>
</file>